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920" yWindow="1800" windowWidth="23250" windowHeight="12870" tabRatio="601" firstSheet="7" activeTab="8"/>
  </bookViews>
  <sheets>
    <sheet name="коррект. декабрь 2020" sheetId="23" state="hidden" r:id="rId1"/>
    <sheet name="Расшифровка выпад. расх.2018г" sheetId="26" state="hidden" r:id="rId2"/>
    <sheet name="выпадающие доходы 2018 по объем" sheetId="6" state="hidden" r:id="rId3"/>
    <sheet name="расшифровки ВО" sheetId="14" state="hidden" r:id="rId4"/>
    <sheet name="расшифровки ВС" sheetId="13" state="hidden" r:id="rId5"/>
    <sheet name="Цеховые расходы" sheetId="8" state="hidden" r:id="rId6"/>
    <sheet name="Админ. расх." sheetId="5" state="hidden" r:id="rId7"/>
    <sheet name="К ВС" sheetId="1" r:id="rId8"/>
    <sheet name="К ВО" sheetId="2" r:id="rId9"/>
    <sheet name="Корректировка ВС" sheetId="19" state="hidden" r:id="rId10"/>
    <sheet name="Расчёт ВС методом индексации" sheetId="3" state="hidden" r:id="rId11"/>
    <sheet name="Корректировка ВО" sheetId="21" state="hidden" r:id="rId12"/>
    <sheet name="Расчет ВО методом индекс ВО" sheetId="4" state="hidden" r:id="rId13"/>
    <sheet name="негативка" sheetId="10" state="hidden" r:id="rId14"/>
    <sheet name="соц выплаты 2018" sheetId="9" state="hidden" r:id="rId15"/>
    <sheet name="ФОТ" sheetId="11" state="hidden" r:id="rId16"/>
    <sheet name="проценты" sheetId="15" state="hidden" r:id="rId17"/>
    <sheet name="налог на имущество 2021" sheetId="20" state="hidden" r:id="rId18"/>
    <sheet name="налог на имущество 2018-2023" sheetId="16" state="hidden" r:id="rId19"/>
    <sheet name="налог на имущество уточ. июль19" sheetId="17" state="hidden" r:id="rId20"/>
    <sheet name="прирост" sheetId="12" state="hidden" r:id="rId21"/>
    <sheet name="НВВ и аморт 2018" sheetId="18" state="hidden" r:id="rId22"/>
    <sheet name="распределение амортизации" sheetId="24" state="hidden" r:id="rId23"/>
    <sheet name="Лист1" sheetId="25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FDS_HYPERLINK_TOGGLE_STATE__" hidden="1">"ON"</definedName>
    <definedName name="ALL_FILES">[1]modLoad_Svod!$B$1</definedName>
    <definedName name="anscount" hidden="1">1</definedName>
    <definedName name="BASE_OF_CONTRACT_LIST">[2]DICTIONARIES!$B$3:$B$17</definedName>
    <definedName name="CURRENT_STATE_LIST">[2]DICTIONARIES!$B$18:$B$22</definedName>
    <definedName name="Excel_BuiltIn_Print_Area_28" localSheetId="6">[3]распределение!#REF!</definedName>
    <definedName name="Excel_BuiltIn_Print_Area_28" localSheetId="17">[3]распределение!#REF!</definedName>
    <definedName name="Excel_BuiltIn_Print_Area_28" localSheetId="19">[3]распределение!#REF!</definedName>
    <definedName name="Excel_BuiltIn_Print_Area_28" localSheetId="3">[3]распределение!#REF!</definedName>
    <definedName name="Excel_BuiltIn_Print_Area_28" localSheetId="4">[3]распределение!#REF!</definedName>
    <definedName name="Excel_BuiltIn_Print_Area_28" localSheetId="5">[3]распределение!#REF!</definedName>
    <definedName name="Excel_BuiltIn_Print_Area_28">[3]распределение!#REF!</definedName>
    <definedName name="Excel6" localSheetId="6">[3]распределение!#REF!</definedName>
    <definedName name="Excel6" localSheetId="17">[3]распределение!#REF!</definedName>
    <definedName name="Excel6" localSheetId="19">[3]распределение!#REF!</definedName>
    <definedName name="Excel6">[3]распределение!#REF!</definedName>
    <definedName name="ggg" localSheetId="6">[4]распределение!#REF!</definedName>
    <definedName name="ggg" localSheetId="17">[4]распределение!#REF!</definedName>
    <definedName name="ggg" localSheetId="19">[4]распределение!#REF!</definedName>
    <definedName name="ggg">[4]распределение!#REF!</definedName>
    <definedName name="gggg" localSheetId="6">#REF!</definedName>
    <definedName name="gggg" localSheetId="17">#REF!</definedName>
    <definedName name="gggg" localSheetId="19">#REF!</definedName>
    <definedName name="gggg" localSheetId="3">#REF!</definedName>
    <definedName name="gggg" localSheetId="4">#REF!</definedName>
    <definedName name="gggg" localSheetId="5">#REF!</definedName>
    <definedName name="gggg">#REF!</definedName>
    <definedName name="god">[2]Контакты!$J$10</definedName>
    <definedName name="HEAT_OBJECT_NUMERIC_AREA">[1]ТС.Объекты!$AT$45:$AT$50,[1]ТС.Объекты!$AU$45:$AU$50,[1]ТС.Объекты!$AV$45:$AV$50,[1]ТС.Объекты!$BC$45:$BC$50,[1]ТС.Объекты!$DP$45:$DR$50,[1]ТС.Объекты!$EI$45:$GE$50</definedName>
    <definedName name="HEAT_OBJECT_TYPE_LIST">[1]TECHSHEET!$E$8:$E$10</definedName>
    <definedName name="HEAT_OPERATING_BASE_LIST">[1]DICTIONARIES!$B$59:$B$77</definedName>
    <definedName name="HEAT_OPERATING_BASE_TYPE_LIST">[1]DICTIONARIES!$B$78:$B$90</definedName>
    <definedName name="HEAT_PIPELINE_CALCULATION_LIST">[1]DICTIONARIES!$B$91:$B$92</definedName>
    <definedName name="HEAT_PIPELINE_TYPE_LIST">[1]DICTIONARIES!$B$93:$B$103</definedName>
    <definedName name="HEAT_PIPES_LIST">[1]DICTIONARIES!$B$104:$B$107</definedName>
    <definedName name="HEAT_PRODUCTION_TYPE_LIST">[1]TECHSHEET!$E$17:$E$19</definedName>
    <definedName name="HEAT_SOURCE_PERIODICITY_LIST">[1]DICTIONARIES!$B$140:$B$141</definedName>
    <definedName name="HEAT_SYSTEM_TYPE_LIST">[1]DICTIONARIES!$B$142:$B$143</definedName>
    <definedName name="LOAD_CONTACTS">[1]Контакты!$G$13:$G$15,[1]Контакты!$G$18:$G$21,[1]Контакты!$G$24:$G$25</definedName>
    <definedName name="MR_LIST">[2]REESTR_MO!$E$2:$E$23</definedName>
    <definedName name="OWNERSHIP_LIST">[2]DICTIONARIES!$B$23:$B$55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localSheetId="17" hidden="1">P5_T1_Protect,P6_T1_Protect,P7_T1_Protect,P8_T1_Protect,P9_T1_Protect,P10_T1_Protect,P11_T1_Protect,P12_T1_Protect,P13_T1_Protect,P14_T1_Protect</definedName>
    <definedName name="P19_T2_Protect" localSheetId="19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localSheetId="4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[1]TECHSHEET!$T$2</definedName>
    <definedName name="region_name">[2]Контакты!$G$10</definedName>
    <definedName name="SAPBEXrevision" hidden="1">1</definedName>
    <definedName name="SAPBEXsysID" hidden="1">"BW2"</definedName>
    <definedName name="SAPBEXwbID" hidden="1">"479GSPMTNK9HM4ZSIVE5K2SH6"</definedName>
    <definedName name="SM_1112">'[5]Таблица № 10'!$D$7</definedName>
    <definedName name="SM_1115">'[5]Таблица № 10'!$D$8</definedName>
    <definedName name="TEMPLATE_MODE">[1]Свод!$H$4</definedName>
    <definedName name="USE_DNS_SERVICE">[1]Инструкция!$R$41</definedName>
    <definedName name="version">[1]Инструкция!$B$3</definedName>
    <definedName name="VOTV_OBJECT_NUMERIC_AREA">[1]ВО.Объекты!$AT$45:$AU$50,[1]ВО.Объекты!$BC$45:$BC$50,[1]ВО.Объекты!$CD$45:$CE$50,[1]ВО.Объекты!$CS$45:$CS$50,[1]ВО.Объекты!$DP$45:$DQ$50,[1]ВО.Объекты!$EI$45:$GE$50</definedName>
    <definedName name="VOTV_OBJECT_TYPE_LIST">[6]TECHSHEET!$G$8:$G$13</definedName>
    <definedName name="VOTV_OPERATING_BASE_LIST">[6]DICTIONARIES!$B$66:$B$85</definedName>
    <definedName name="VOTV_OPERATING_BASE_TYPE_LIST">[6]DICTIONARIES!$B$86:$B$98</definedName>
    <definedName name="VOTV_PIPELINE_TYPE_LIST">[6]DICTIONARIES!$B$99:$B$110</definedName>
    <definedName name="VOTV_SYSTEM_TYPE_LIST">[6]DICTIONARIES!$B$113:$B$114</definedName>
    <definedName name="VSNA_OBJECT_NUMERIC_AREA" localSheetId="6">[7]Объекты_ВС!$AT$45:$AU$242,[7]Объекты_ВС!$BC$45:$BC$242,[7]Объекты_ВС!$CD$45:$CE$242,[7]Объекты_ВС!$CS$45:$CS$242,[7]Объекты_ВС!$DP$45:$DQ$242,[7]Объекты_ВС!$EI$45:$GE$242</definedName>
    <definedName name="VSNA_OBJECT_NUMERIC_AREA" localSheetId="3">[7]Объекты_ВС!$AT$45:$AU$242,[7]Объекты_ВС!$BC$45:$BC$242,[7]Объекты_ВС!$CD$45:$CE$242,[7]Объекты_ВС!$CS$45:$CS$242,[7]Объекты_ВС!$DP$45:$DQ$242,[7]Объекты_ВС!$EI$45:$GE$242</definedName>
    <definedName name="VSNA_OBJECT_NUMERIC_AREA" localSheetId="4">[7]Объекты_ВС!$AT$45:$AU$242,[7]Объекты_ВС!$BC$45:$BC$242,[7]Объекты_ВС!$CD$45:$CE$242,[7]Объекты_ВС!$CS$45:$CS$242,[7]Объекты_ВС!$DP$45:$DQ$242,[7]Объекты_ВС!$EI$45:$GE$242</definedName>
    <definedName name="VSNA_OBJECT_NUMERIC_AREA" localSheetId="5">[7]Объекты_ВС!$AT$45:$AU$242,[7]Объекты_ВС!$BC$45:$BC$242,[7]Объекты_ВС!$CD$45:$CE$242,[7]Объекты_ВС!$CS$45:$CS$242,[7]Объекты_ВС!$DP$45:$DQ$242,[7]Объекты_ВС!$EI$45:$GE$242</definedName>
    <definedName name="VSNA_OBJECT_NUMERIC_AREA">[8]Объекты_ВС!$AT$45:$AU$242,[8]Объекты_ВС!$BC$45:$BC$242,[8]Объекты_ВС!$CD$45:$CE$242,[8]Объекты_ВС!$CS$45:$CS$242,[8]Объекты_ВС!$DP$45:$DQ$242,[8]Объекты_ВС!$EI$45:$GE$242</definedName>
    <definedName name="VSNA_OBJECT_TYPE_LIST">[2]TECHSHEET!$F$8:$F$13</definedName>
    <definedName name="VSNA_OPERATING_BASE_LIST">[2]DICTIONARIES!$B$66:$B$85</definedName>
    <definedName name="VSNA_OPERATING_BASE_TYPE_LIST">[2]DICTIONARIES!$B$86:$B$98</definedName>
    <definedName name="VSNA_PIPELINE_TYPE_LIST">[2]DICTIONARIES!$B$99:$B$107</definedName>
    <definedName name="VSNA_SYSTEM_TYPE_LIST">[2]DICTIONARIES!$B$110:$B$116</definedName>
    <definedName name="VSNA_VTOV_TYPE_LIST">[2]DICTIONARIES!$B$117:$B$119</definedName>
    <definedName name="ааа" localSheetId="6">#REF!</definedName>
    <definedName name="ааа" localSheetId="17">#REF!</definedName>
    <definedName name="ааа" localSheetId="19">#REF!</definedName>
    <definedName name="ааа" localSheetId="3">#REF!</definedName>
    <definedName name="ааа" localSheetId="4">#REF!</definedName>
    <definedName name="ааа" localSheetId="5">#REF!</definedName>
    <definedName name="ааа">#REF!</definedName>
    <definedName name="ааааааааа" localSheetId="6">#REF!</definedName>
    <definedName name="ааааааааа" localSheetId="17">#REF!</definedName>
    <definedName name="ааааааааа" localSheetId="19">#REF!</definedName>
    <definedName name="ааааааааа" localSheetId="3">#REF!</definedName>
    <definedName name="ааааааааа" localSheetId="4">#REF!</definedName>
    <definedName name="ааааааааа" localSheetId="5">#REF!</definedName>
    <definedName name="ааааааааа">#REF!</definedName>
    <definedName name="ааааап" localSheetId="6">[4]распределение!#REF!</definedName>
    <definedName name="ааааап" localSheetId="17">[4]распределение!#REF!</definedName>
    <definedName name="ааааап" localSheetId="19">[4]распределение!#REF!</definedName>
    <definedName name="ааааап" localSheetId="3">[4]распределение!#REF!</definedName>
    <definedName name="ааааап" localSheetId="4">[4]распределение!#REF!</definedName>
    <definedName name="ааааап" localSheetId="5">[4]распределение!#REF!</definedName>
    <definedName name="ааааап">[4]распределение!#REF!</definedName>
    <definedName name="_xlnm.Print_Titles" localSheetId="8">'К ВО'!$4:$7</definedName>
    <definedName name="_xlnm.Print_Titles" localSheetId="7">'К ВС'!$4:$7</definedName>
    <definedName name="_xlnm.Print_Titles" localSheetId="3">'расшифровки ВО'!$336:$338</definedName>
    <definedName name="_xlnm.Print_Titles" localSheetId="4">'расшифровки ВС'!$338:$340</definedName>
    <definedName name="рорпо" localSheetId="6">#REF!</definedName>
    <definedName name="рорпо" localSheetId="17">#REF!</definedName>
    <definedName name="рорпо" localSheetId="19">#REF!</definedName>
    <definedName name="рорпо" localSheetId="3">#REF!</definedName>
    <definedName name="рорпо" localSheetId="4">#REF!</definedName>
    <definedName name="рорпо" localSheetId="5">#REF!</definedName>
    <definedName name="рорпо">#REF!</definedName>
    <definedName name="рррр" localSheetId="6">#REF!</definedName>
    <definedName name="рррр" localSheetId="17">#REF!</definedName>
    <definedName name="рррр" localSheetId="19">#REF!</definedName>
    <definedName name="рррр" localSheetId="3">#REF!</definedName>
    <definedName name="рррр" localSheetId="4">#REF!</definedName>
    <definedName name="рррр" localSheetId="5">#REF!</definedName>
    <definedName name="рррр">#REF!</definedName>
    <definedName name="уе" localSheetId="6">#REF!</definedName>
    <definedName name="уе" localSheetId="17">#REF!</definedName>
    <definedName name="уе" localSheetId="19">#REF!</definedName>
    <definedName name="уе" localSheetId="3">#REF!</definedName>
    <definedName name="уе" localSheetId="4">#REF!</definedName>
    <definedName name="уе" localSheetId="5">#REF!</definedName>
    <definedName name="уе">#REF!</definedName>
    <definedName name="характер" localSheetId="6">#REF!</definedName>
    <definedName name="характер" localSheetId="17">#REF!</definedName>
    <definedName name="характер" localSheetId="19">#REF!</definedName>
    <definedName name="характер" localSheetId="3">#REF!</definedName>
    <definedName name="характер" localSheetId="4">#REF!</definedName>
    <definedName name="характер" localSheetId="5">#REF!</definedName>
    <definedName name="характер">#REF!</definedName>
    <definedName name="ы" localSheetId="6">#REF!</definedName>
    <definedName name="ы" localSheetId="17">#REF!</definedName>
    <definedName name="ы" localSheetId="19">#REF!</definedName>
    <definedName name="ы" localSheetId="3">#REF!</definedName>
    <definedName name="ы" localSheetId="4">#REF!</definedName>
    <definedName name="ы" localSheetId="5">#REF!</definedName>
    <definedName name="ы">#REF!</definedName>
    <definedName name="ыы" localSheetId="6">#REF!</definedName>
    <definedName name="ыы" localSheetId="17">#REF!</definedName>
    <definedName name="ыы" localSheetId="19">#REF!</definedName>
    <definedName name="ыы" localSheetId="3">#REF!</definedName>
    <definedName name="ыы" localSheetId="4">#REF!</definedName>
    <definedName name="ыы" localSheetId="5">#REF!</definedName>
    <definedName name="ыы">#REF!</definedName>
    <definedName name="ыыыыыыыыыыыыыыыы" localSheetId="6">[4]распределение!#REF!</definedName>
    <definedName name="ыыыыыыыыыыыыыыыы" localSheetId="17">[4]распределение!#REF!</definedName>
    <definedName name="ыыыыыыыыыыыыыыыы" localSheetId="19">[4]распределение!#REF!</definedName>
    <definedName name="ыыыыыыыыыыыыыыыы" localSheetId="3">[4]распределение!#REF!</definedName>
    <definedName name="ыыыыыыыыыыыыыыыы" localSheetId="4">[4]распределение!#REF!</definedName>
    <definedName name="ыыыыыыыыыыыыыыыы" localSheetId="5">[4]распределение!#REF!</definedName>
    <definedName name="ыыыыыыыыыыыыыыыы">[4]распределение!#REF!</definedName>
  </definedNames>
  <calcPr calcId="145621"/>
</workbook>
</file>

<file path=xl/calcChain.xml><?xml version="1.0" encoding="utf-8"?>
<calcChain xmlns="http://schemas.openxmlformats.org/spreadsheetml/2006/main">
  <c r="Z327" i="2" l="1"/>
  <c r="Z189" i="2"/>
  <c r="Z270" i="2"/>
  <c r="Z276" i="2"/>
  <c r="Z214" i="2"/>
  <c r="Z216" i="2"/>
  <c r="Z218" i="2"/>
  <c r="Z121" i="2" l="1"/>
  <c r="Z120" i="2"/>
  <c r="Z94" i="2"/>
  <c r="Z92" i="2"/>
  <c r="Z91" i="2"/>
  <c r="Z14" i="2"/>
  <c r="Z9" i="2"/>
  <c r="Z8" i="2"/>
  <c r="Z187" i="2"/>
  <c r="Z138" i="2"/>
  <c r="Z10" i="2"/>
  <c r="AF188" i="2" l="1"/>
  <c r="Z163" i="2"/>
  <c r="Z164" i="2"/>
  <c r="Z165" i="2"/>
  <c r="Z166" i="2"/>
  <c r="Z167" i="2"/>
  <c r="Z168" i="2"/>
  <c r="Z169" i="2"/>
  <c r="Z170" i="2"/>
  <c r="Z171" i="2"/>
  <c r="Z172" i="2"/>
  <c r="Z173" i="2"/>
  <c r="Z162" i="2"/>
  <c r="Z160" i="2"/>
  <c r="Z148" i="2" s="1"/>
  <c r="Z150" i="2"/>
  <c r="Z125" i="2"/>
  <c r="Z149" i="2"/>
  <c r="Z141" i="2"/>
  <c r="Z142" i="2"/>
  <c r="Z143" i="2"/>
  <c r="Z144" i="2"/>
  <c r="Z145" i="2"/>
  <c r="Z146" i="2"/>
  <c r="Z147" i="2"/>
  <c r="Z140" i="2"/>
  <c r="Z137" i="2"/>
  <c r="Z127" i="2"/>
  <c r="Z126" i="2"/>
  <c r="Z119" i="2"/>
  <c r="Z112" i="2"/>
  <c r="Z111" i="2"/>
  <c r="Z108" i="2"/>
  <c r="Z103" i="2"/>
  <c r="Z93" i="2"/>
  <c r="Z13" i="2"/>
  <c r="Z1" i="2"/>
  <c r="Z139" i="2" l="1"/>
  <c r="Z182" i="1"/>
  <c r="Z323" i="1" s="1"/>
  <c r="Z324" i="1"/>
  <c r="X324" i="1"/>
  <c r="Z9" i="1"/>
  <c r="Z8" i="1"/>
  <c r="Z266" i="1"/>
  <c r="Z186" i="1"/>
  <c r="Z156" i="1"/>
  <c r="Z133" i="1"/>
  <c r="Z121" i="1" s="1"/>
  <c r="Z122" i="1"/>
  <c r="Z115" i="1"/>
  <c r="Z111" i="1"/>
  <c r="Z92" i="1"/>
  <c r="Z90" i="1"/>
  <c r="Z15" i="1"/>
  <c r="Z14" i="1"/>
  <c r="Z10" i="1"/>
  <c r="Z170" i="1"/>
  <c r="X214" i="1"/>
  <c r="Z173" i="1"/>
  <c r="Z174" i="1"/>
  <c r="Z175" i="1"/>
  <c r="Z176" i="1"/>
  <c r="Z177" i="1"/>
  <c r="Z178" i="1"/>
  <c r="Z179" i="1"/>
  <c r="Z180" i="1"/>
  <c r="Z181" i="1"/>
  <c r="Z158" i="1"/>
  <c r="Z147" i="1"/>
  <c r="X147" i="1"/>
  <c r="Z145" i="1"/>
  <c r="Z136" i="1"/>
  <c r="Z124" i="1"/>
  <c r="Z119" i="1"/>
  <c r="Z117" i="1"/>
  <c r="Z91" i="1"/>
  <c r="AG2" i="1"/>
  <c r="Z2" i="1"/>
  <c r="AH332" i="1"/>
  <c r="Z194" i="1" l="1"/>
  <c r="AF326" i="1"/>
  <c r="AD2" i="1"/>
  <c r="X124" i="1"/>
  <c r="X92" i="1"/>
  <c r="X359" i="2"/>
  <c r="X360" i="2" s="1"/>
  <c r="X358" i="2"/>
  <c r="X151" i="2"/>
  <c r="X128" i="2"/>
  <c r="X94" i="2"/>
  <c r="R2" i="2"/>
  <c r="AF327" i="1" l="1"/>
  <c r="AF328" i="1" s="1"/>
  <c r="V48" i="4"/>
  <c r="X174" i="2" l="1"/>
  <c r="X327" i="2"/>
  <c r="X187" i="2"/>
  <c r="X272" i="2"/>
  <c r="X279" i="2"/>
  <c r="X275" i="2"/>
  <c r="X273" i="2"/>
  <c r="X221" i="2"/>
  <c r="X218" i="2" s="1"/>
  <c r="X15" i="2"/>
  <c r="X328" i="2" s="1"/>
  <c r="X10" i="2"/>
  <c r="X161" i="2"/>
  <c r="X160" i="2"/>
  <c r="X149" i="2"/>
  <c r="X147" i="2"/>
  <c r="X140" i="2"/>
  <c r="X137" i="2"/>
  <c r="X126" i="2"/>
  <c r="X121" i="2"/>
  <c r="X119" i="2"/>
  <c r="X109" i="2"/>
  <c r="X110" i="2"/>
  <c r="X111" i="2"/>
  <c r="X112" i="2"/>
  <c r="X113" i="2"/>
  <c r="X114" i="2"/>
  <c r="X108" i="2"/>
  <c r="X103" i="2"/>
  <c r="X92" i="2"/>
  <c r="X14" i="2"/>
  <c r="X13" i="2"/>
  <c r="X214" i="2" l="1"/>
  <c r="X125" i="2"/>
  <c r="X120" i="2" s="1"/>
  <c r="X148" i="2"/>
  <c r="X274" i="1"/>
  <c r="X271" i="1"/>
  <c r="X217" i="1"/>
  <c r="X270" i="1"/>
  <c r="X268" i="1"/>
  <c r="X171" i="1"/>
  <c r="X84" i="1"/>
  <c r="X83" i="1"/>
  <c r="X186" i="1"/>
  <c r="X182" i="1"/>
  <c r="X187" i="1"/>
  <c r="X136" i="1"/>
  <c r="AC111" i="1"/>
  <c r="X156" i="1"/>
  <c r="X117" i="1"/>
  <c r="X115" i="1"/>
  <c r="X15" i="1"/>
  <c r="X14" i="1"/>
  <c r="X10" i="1"/>
  <c r="X9" i="1"/>
  <c r="X167" i="1"/>
  <c r="Z167" i="1" s="1"/>
  <c r="X158" i="1"/>
  <c r="X145" i="1"/>
  <c r="X122" i="1"/>
  <c r="X121" i="1"/>
  <c r="X133" i="1"/>
  <c r="X119" i="1"/>
  <c r="X111" i="1"/>
  <c r="X106" i="1"/>
  <c r="Z106" i="1" s="1"/>
  <c r="X105" i="1"/>
  <c r="X90" i="1"/>
  <c r="X2" i="1"/>
  <c r="X116" i="1" l="1"/>
  <c r="G32" i="19"/>
  <c r="X43" i="4"/>
  <c r="AA43" i="4" l="1"/>
  <c r="X35" i="4"/>
  <c r="V43" i="4"/>
  <c r="V35" i="4"/>
  <c r="V37" i="4"/>
  <c r="Y38" i="3"/>
  <c r="AB43" i="3"/>
  <c r="Y41" i="3"/>
  <c r="W43" i="3"/>
  <c r="V41" i="4" l="1"/>
  <c r="T41" i="4"/>
  <c r="R101" i="4"/>
  <c r="V38" i="4"/>
  <c r="AB86" i="4"/>
  <c r="AA87" i="4"/>
  <c r="AA86" i="4"/>
  <c r="AC86" i="4"/>
  <c r="V28" i="4"/>
  <c r="F28" i="21"/>
  <c r="F18" i="21"/>
  <c r="E47" i="19"/>
  <c r="W38" i="3" l="1"/>
  <c r="U41" i="3"/>
  <c r="W10" i="3"/>
  <c r="G19" i="19"/>
  <c r="F18" i="19"/>
  <c r="F27" i="19"/>
  <c r="G25" i="19"/>
  <c r="W28" i="3" s="1"/>
  <c r="T37" i="4" l="1"/>
  <c r="T35" i="4"/>
  <c r="AB42" i="3" l="1"/>
  <c r="U37" i="3" l="1"/>
  <c r="V10" i="1" l="1"/>
  <c r="Z78" i="4" l="1"/>
  <c r="AA78" i="4"/>
  <c r="AB75" i="3"/>
  <c r="Y43" i="3"/>
  <c r="U43" i="3"/>
  <c r="AC75" i="3" l="1"/>
  <c r="H10" i="26" l="1"/>
  <c r="I10" i="26" s="1"/>
  <c r="U42" i="3" s="1"/>
  <c r="F23" i="26" l="1"/>
  <c r="D23" i="26"/>
  <c r="G22" i="26"/>
  <c r="G21" i="26"/>
  <c r="G20" i="26"/>
  <c r="G19" i="26"/>
  <c r="G18" i="26"/>
  <c r="G17" i="26"/>
  <c r="E16" i="26"/>
  <c r="E23" i="26" s="1"/>
  <c r="G15" i="26"/>
  <c r="G14" i="26"/>
  <c r="F10" i="26"/>
  <c r="E10" i="26"/>
  <c r="D10" i="26"/>
  <c r="D24" i="26" s="1"/>
  <c r="G9" i="26"/>
  <c r="G8" i="26"/>
  <c r="G7" i="26"/>
  <c r="G6" i="26"/>
  <c r="G5" i="26"/>
  <c r="G4" i="26"/>
  <c r="G10" i="26" s="1"/>
  <c r="G16" i="26" l="1"/>
  <c r="G23" i="26" s="1"/>
  <c r="G24" i="26" s="1"/>
  <c r="Z33" i="3"/>
  <c r="AA33" i="3"/>
  <c r="X96" i="3" l="1"/>
  <c r="V96" i="3"/>
  <c r="T96" i="3"/>
  <c r="S96" i="3"/>
  <c r="F31" i="6"/>
  <c r="G31" i="6"/>
  <c r="H31" i="6"/>
  <c r="E31" i="6"/>
  <c r="D31" i="6"/>
  <c r="C31" i="6"/>
  <c r="B31" i="6"/>
  <c r="U38" i="3"/>
  <c r="T109" i="4"/>
  <c r="U109" i="4" s="1"/>
  <c r="R109" i="4"/>
  <c r="Q109" i="4"/>
  <c r="K32" i="6"/>
  <c r="J32" i="6"/>
  <c r="F32" i="6"/>
  <c r="E32" i="6"/>
  <c r="D32" i="6"/>
  <c r="X88" i="4"/>
  <c r="X85" i="4"/>
  <c r="X42" i="4"/>
  <c r="S79" i="4"/>
  <c r="U87" i="4"/>
  <c r="W87" i="4"/>
  <c r="W84" i="4"/>
  <c r="Q83" i="4"/>
  <c r="R84" i="4"/>
  <c r="T87" i="4"/>
  <c r="S87" i="4"/>
  <c r="T38" i="4"/>
  <c r="E50" i="21"/>
  <c r="E49" i="21"/>
  <c r="K337" i="25" l="1"/>
  <c r="J337" i="25"/>
  <c r="I337" i="25"/>
  <c r="I335" i="25"/>
  <c r="G335" i="25"/>
  <c r="F335" i="25"/>
  <c r="E335" i="25"/>
  <c r="G332" i="25"/>
  <c r="F332" i="25"/>
  <c r="E332" i="25"/>
  <c r="G331" i="25"/>
  <c r="F331" i="25"/>
  <c r="E331" i="25"/>
  <c r="B331" i="25"/>
  <c r="G330" i="25"/>
  <c r="F330" i="25"/>
  <c r="E330" i="25"/>
  <c r="B330" i="25"/>
  <c r="G329" i="25"/>
  <c r="F329" i="25"/>
  <c r="E329" i="25"/>
  <c r="G328" i="25"/>
  <c r="F328" i="25"/>
  <c r="E328" i="25"/>
  <c r="B328" i="25"/>
  <c r="G327" i="25"/>
  <c r="F327" i="25"/>
  <c r="E327" i="25"/>
  <c r="B327" i="25"/>
  <c r="G326" i="25"/>
  <c r="F326" i="25"/>
  <c r="E326" i="25"/>
  <c r="G325" i="25"/>
  <c r="F325" i="25"/>
  <c r="E325" i="25"/>
  <c r="B325" i="25"/>
  <c r="G324" i="25"/>
  <c r="F324" i="25"/>
  <c r="E324" i="25"/>
  <c r="B324" i="25"/>
  <c r="G323" i="25"/>
  <c r="F323" i="25"/>
  <c r="E323" i="25"/>
  <c r="G322" i="25"/>
  <c r="G321" i="25" s="1"/>
  <c r="F322" i="25"/>
  <c r="E322" i="25"/>
  <c r="B322" i="25"/>
  <c r="F321" i="25"/>
  <c r="E321" i="25"/>
  <c r="B321" i="25"/>
  <c r="G320" i="25"/>
  <c r="F320" i="25"/>
  <c r="E320" i="25"/>
  <c r="G319" i="25"/>
  <c r="F319" i="25"/>
  <c r="E319" i="25"/>
  <c r="B319" i="25"/>
  <c r="G318" i="25"/>
  <c r="F318" i="25"/>
  <c r="E318" i="25"/>
  <c r="B318" i="25"/>
  <c r="G317" i="25"/>
  <c r="F317" i="25"/>
  <c r="E317" i="25"/>
  <c r="G316" i="25"/>
  <c r="F316" i="25"/>
  <c r="E316" i="25"/>
  <c r="B316" i="25"/>
  <c r="G315" i="25"/>
  <c r="F315" i="25"/>
  <c r="E315" i="25"/>
  <c r="B315" i="25"/>
  <c r="G314" i="25"/>
  <c r="F314" i="25"/>
  <c r="E314" i="25"/>
  <c r="G313" i="25"/>
  <c r="F313" i="25"/>
  <c r="E313" i="25"/>
  <c r="B313" i="25"/>
  <c r="G312" i="25"/>
  <c r="F312" i="25"/>
  <c r="E312" i="25"/>
  <c r="B312" i="25"/>
  <c r="G311" i="25"/>
  <c r="F311" i="25"/>
  <c r="E311" i="25"/>
  <c r="G310" i="25"/>
  <c r="F310" i="25"/>
  <c r="E310" i="25"/>
  <c r="B310" i="25"/>
  <c r="G309" i="25"/>
  <c r="F309" i="25"/>
  <c r="E309" i="25"/>
  <c r="B309" i="25"/>
  <c r="G308" i="25"/>
  <c r="F308" i="25"/>
  <c r="E308" i="25"/>
  <c r="G307" i="25"/>
  <c r="F307" i="25"/>
  <c r="E307" i="25"/>
  <c r="B307" i="25"/>
  <c r="G306" i="25"/>
  <c r="F306" i="25"/>
  <c r="E306" i="25"/>
  <c r="B306" i="25"/>
  <c r="G305" i="25"/>
  <c r="F305" i="25"/>
  <c r="E305" i="25"/>
  <c r="G304" i="25"/>
  <c r="F304" i="25"/>
  <c r="E304" i="25"/>
  <c r="B304" i="25"/>
  <c r="G303" i="25"/>
  <c r="F303" i="25"/>
  <c r="E303" i="25"/>
  <c r="B303" i="25"/>
  <c r="G302" i="25"/>
  <c r="F302" i="25"/>
  <c r="E302" i="25"/>
  <c r="G301" i="25"/>
  <c r="F301" i="25"/>
  <c r="E301" i="25"/>
  <c r="B301" i="25"/>
  <c r="G300" i="25"/>
  <c r="F300" i="25"/>
  <c r="E300" i="25"/>
  <c r="B300" i="25"/>
  <c r="G299" i="25"/>
  <c r="F299" i="25"/>
  <c r="E299" i="25"/>
  <c r="G298" i="25"/>
  <c r="F298" i="25"/>
  <c r="F297" i="25" s="1"/>
  <c r="E298" i="25"/>
  <c r="B298" i="25"/>
  <c r="G297" i="25"/>
  <c r="E297" i="25"/>
  <c r="B297" i="25"/>
  <c r="G296" i="25"/>
  <c r="F296" i="25"/>
  <c r="E296" i="25"/>
  <c r="G295" i="25"/>
  <c r="F295" i="25"/>
  <c r="E295" i="25"/>
  <c r="B295" i="25"/>
  <c r="G294" i="25"/>
  <c r="F294" i="25"/>
  <c r="E294" i="25"/>
  <c r="B294" i="25"/>
  <c r="G293" i="25"/>
  <c r="F293" i="25"/>
  <c r="E293" i="25"/>
  <c r="G292" i="25"/>
  <c r="F292" i="25"/>
  <c r="E292" i="25"/>
  <c r="B292" i="25"/>
  <c r="G291" i="25"/>
  <c r="F291" i="25"/>
  <c r="E291" i="25"/>
  <c r="B291" i="25"/>
  <c r="G290" i="25"/>
  <c r="F290" i="25"/>
  <c r="E290" i="25"/>
  <c r="G289" i="25"/>
  <c r="G288" i="25" s="1"/>
  <c r="F289" i="25"/>
  <c r="E289" i="25"/>
  <c r="B289" i="25"/>
  <c r="F288" i="25"/>
  <c r="E288" i="25"/>
  <c r="B288" i="25"/>
  <c r="G287" i="25"/>
  <c r="F287" i="25"/>
  <c r="E287" i="25"/>
  <c r="I286" i="25"/>
  <c r="G286" i="25"/>
  <c r="G285" i="25" s="1"/>
  <c r="F286" i="25"/>
  <c r="F285" i="25" s="1"/>
  <c r="E286" i="25"/>
  <c r="B286" i="25"/>
  <c r="I285" i="25"/>
  <c r="E285" i="25"/>
  <c r="B285" i="25"/>
  <c r="K284" i="25"/>
  <c r="J284" i="25"/>
  <c r="I284" i="25"/>
  <c r="G284" i="25"/>
  <c r="F284" i="25"/>
  <c r="E284" i="25"/>
  <c r="G283" i="25"/>
  <c r="G282" i="25" s="1"/>
  <c r="F283" i="25"/>
  <c r="E283" i="25"/>
  <c r="B283" i="25"/>
  <c r="F282" i="25"/>
  <c r="E282" i="25"/>
  <c r="B282" i="25"/>
  <c r="G281" i="25"/>
  <c r="F281" i="25"/>
  <c r="E281" i="25"/>
  <c r="G280" i="25"/>
  <c r="F280" i="25"/>
  <c r="E280" i="25"/>
  <c r="B280" i="25"/>
  <c r="G279" i="25"/>
  <c r="F279" i="25"/>
  <c r="E279" i="25"/>
  <c r="B279" i="25"/>
  <c r="G278" i="25"/>
  <c r="F278" i="25"/>
  <c r="E278" i="25"/>
  <c r="G277" i="25"/>
  <c r="F277" i="25"/>
  <c r="E277" i="25"/>
  <c r="E276" i="25" s="1"/>
  <c r="B277" i="25"/>
  <c r="G276" i="25"/>
  <c r="F276" i="25"/>
  <c r="B276" i="25"/>
  <c r="G275" i="25"/>
  <c r="F275" i="25"/>
  <c r="E275" i="25"/>
  <c r="G274" i="25"/>
  <c r="F274" i="25"/>
  <c r="E274" i="25"/>
  <c r="B274" i="25"/>
  <c r="G273" i="25"/>
  <c r="F273" i="25"/>
  <c r="E273" i="25"/>
  <c r="B273" i="25"/>
  <c r="G272" i="25"/>
  <c r="F272" i="25"/>
  <c r="E272" i="25"/>
  <c r="G271" i="25"/>
  <c r="F271" i="25"/>
  <c r="E271" i="25"/>
  <c r="B271" i="25"/>
  <c r="G270" i="25"/>
  <c r="F270" i="25"/>
  <c r="E270" i="25"/>
  <c r="B270" i="25"/>
  <c r="G269" i="25"/>
  <c r="F269" i="25"/>
  <c r="E269" i="25"/>
  <c r="G268" i="25"/>
  <c r="F268" i="25"/>
  <c r="E268" i="25"/>
  <c r="E267" i="25" s="1"/>
  <c r="B268" i="25"/>
  <c r="G267" i="25"/>
  <c r="F267" i="25"/>
  <c r="B267" i="25"/>
  <c r="G266" i="25"/>
  <c r="F266" i="25"/>
  <c r="E266" i="25"/>
  <c r="G265" i="25"/>
  <c r="F265" i="25"/>
  <c r="E265" i="25"/>
  <c r="B265" i="25"/>
  <c r="G264" i="25"/>
  <c r="F264" i="25"/>
  <c r="E264" i="25"/>
  <c r="B264" i="25"/>
  <c r="G263" i="25"/>
  <c r="F263" i="25"/>
  <c r="E263" i="25"/>
  <c r="G262" i="25"/>
  <c r="F262" i="25"/>
  <c r="E262" i="25"/>
  <c r="B262" i="25"/>
  <c r="G261" i="25"/>
  <c r="F261" i="25"/>
  <c r="E261" i="25"/>
  <c r="B261" i="25"/>
  <c r="G260" i="25"/>
  <c r="F260" i="25"/>
  <c r="E260" i="25"/>
  <c r="G259" i="25"/>
  <c r="G258" i="25" s="1"/>
  <c r="F259" i="25"/>
  <c r="F258" i="25" s="1"/>
  <c r="E259" i="25"/>
  <c r="B259" i="25"/>
  <c r="E258" i="25"/>
  <c r="B258" i="25"/>
  <c r="G257" i="25"/>
  <c r="F257" i="25"/>
  <c r="E257" i="25"/>
  <c r="G256" i="25"/>
  <c r="F256" i="25"/>
  <c r="E256" i="25"/>
  <c r="B256" i="25"/>
  <c r="G255" i="25"/>
  <c r="F255" i="25"/>
  <c r="E255" i="25"/>
  <c r="B255" i="25"/>
  <c r="G254" i="25"/>
  <c r="F254" i="25"/>
  <c r="E254" i="25"/>
  <c r="G253" i="25"/>
  <c r="F253" i="25"/>
  <c r="E253" i="25"/>
  <c r="E252" i="25" s="1"/>
  <c r="B253" i="25"/>
  <c r="G252" i="25"/>
  <c r="F252" i="25"/>
  <c r="B252" i="25"/>
  <c r="G251" i="25"/>
  <c r="F251" i="25"/>
  <c r="E251" i="25"/>
  <c r="G250" i="25"/>
  <c r="G249" i="25" s="1"/>
  <c r="F250" i="25"/>
  <c r="E250" i="25"/>
  <c r="B250" i="25"/>
  <c r="F249" i="25"/>
  <c r="E249" i="25"/>
  <c r="B249" i="25"/>
  <c r="G248" i="25"/>
  <c r="F248" i="25"/>
  <c r="E248" i="25"/>
  <c r="G247" i="25"/>
  <c r="G246" i="25" s="1"/>
  <c r="F247" i="25"/>
  <c r="F246" i="25" s="1"/>
  <c r="E247" i="25"/>
  <c r="B247" i="25"/>
  <c r="E246" i="25"/>
  <c r="B246" i="25"/>
  <c r="G245" i="25"/>
  <c r="F245" i="25"/>
  <c r="E245" i="25"/>
  <c r="G244" i="25"/>
  <c r="F244" i="25"/>
  <c r="E244" i="25"/>
  <c r="B244" i="25"/>
  <c r="G243" i="25"/>
  <c r="F243" i="25"/>
  <c r="E243" i="25"/>
  <c r="B243" i="25"/>
  <c r="G242" i="25"/>
  <c r="F242" i="25"/>
  <c r="E242" i="25"/>
  <c r="G241" i="25"/>
  <c r="F241" i="25"/>
  <c r="E241" i="25"/>
  <c r="E240" i="25" s="1"/>
  <c r="B241" i="25"/>
  <c r="G240" i="25"/>
  <c r="F240" i="25"/>
  <c r="B240" i="25"/>
  <c r="G239" i="25"/>
  <c r="F239" i="25"/>
  <c r="E239" i="25"/>
  <c r="G238" i="25"/>
  <c r="G237" i="25" s="1"/>
  <c r="F238" i="25"/>
  <c r="E238" i="25"/>
  <c r="B238" i="25"/>
  <c r="F237" i="25"/>
  <c r="E237" i="25"/>
  <c r="B237" i="25"/>
  <c r="G236" i="25"/>
  <c r="F236" i="25"/>
  <c r="E236" i="25"/>
  <c r="G235" i="25"/>
  <c r="F235" i="25"/>
  <c r="F234" i="25" s="1"/>
  <c r="E235" i="25"/>
  <c r="B235" i="25"/>
  <c r="G234" i="25"/>
  <c r="E234" i="25"/>
  <c r="B234" i="25"/>
  <c r="G233" i="25"/>
  <c r="F233" i="25"/>
  <c r="E233" i="25"/>
  <c r="G232" i="25"/>
  <c r="F232" i="25"/>
  <c r="F231" i="25" s="1"/>
  <c r="E232" i="25"/>
  <c r="B232" i="25"/>
  <c r="G231" i="25"/>
  <c r="E231" i="25"/>
  <c r="B231" i="25"/>
  <c r="G230" i="25"/>
  <c r="F230" i="25"/>
  <c r="E230" i="25"/>
  <c r="G229" i="25"/>
  <c r="F229" i="25"/>
  <c r="E229" i="25"/>
  <c r="E228" i="25" s="1"/>
  <c r="B229" i="25"/>
  <c r="G228" i="25"/>
  <c r="F228" i="25"/>
  <c r="B228" i="25"/>
  <c r="G227" i="25"/>
  <c r="F227" i="25"/>
  <c r="E227" i="25"/>
  <c r="G226" i="25"/>
  <c r="F226" i="25"/>
  <c r="E226" i="25"/>
  <c r="B226" i="25"/>
  <c r="G225" i="25"/>
  <c r="F225" i="25"/>
  <c r="E225" i="25"/>
  <c r="B225" i="25"/>
  <c r="G224" i="25"/>
  <c r="F224" i="25"/>
  <c r="E224" i="25"/>
  <c r="G223" i="25"/>
  <c r="F223" i="25"/>
  <c r="E223" i="25"/>
  <c r="B223" i="25"/>
  <c r="G222" i="25"/>
  <c r="F222" i="25"/>
  <c r="E222" i="25"/>
  <c r="B222" i="25"/>
  <c r="G221" i="25"/>
  <c r="F221" i="25"/>
  <c r="E221" i="25"/>
  <c r="G220" i="25"/>
  <c r="F220" i="25"/>
  <c r="E220" i="25"/>
  <c r="E219" i="25" s="1"/>
  <c r="B220" i="25"/>
  <c r="G219" i="25"/>
  <c r="F219" i="25"/>
  <c r="B219" i="25"/>
  <c r="G218" i="25"/>
  <c r="F218" i="25"/>
  <c r="E218" i="25"/>
  <c r="G217" i="25"/>
  <c r="F217" i="25"/>
  <c r="E217" i="25"/>
  <c r="E216" i="25" s="1"/>
  <c r="B217" i="25"/>
  <c r="G216" i="25"/>
  <c r="F216" i="25"/>
  <c r="B216" i="25"/>
  <c r="G215" i="25"/>
  <c r="F215" i="25"/>
  <c r="E215" i="25"/>
  <c r="G214" i="25"/>
  <c r="G213" i="25" s="1"/>
  <c r="F214" i="25"/>
  <c r="E214" i="25"/>
  <c r="B214" i="25"/>
  <c r="F213" i="25"/>
  <c r="E213" i="25"/>
  <c r="B213" i="25"/>
  <c r="G212" i="25"/>
  <c r="F212" i="25"/>
  <c r="E212" i="25"/>
  <c r="G211" i="25"/>
  <c r="G210" i="25" s="1"/>
  <c r="F211" i="25"/>
  <c r="E211" i="25"/>
  <c r="B211" i="25"/>
  <c r="F210" i="25"/>
  <c r="E210" i="25"/>
  <c r="B210" i="25"/>
  <c r="G209" i="25"/>
  <c r="F209" i="25"/>
  <c r="E209" i="25"/>
  <c r="G208" i="25"/>
  <c r="F208" i="25"/>
  <c r="F207" i="25" s="1"/>
  <c r="E208" i="25"/>
  <c r="E207" i="25" s="1"/>
  <c r="B208" i="25"/>
  <c r="G207" i="25"/>
  <c r="B207" i="25"/>
  <c r="G206" i="25"/>
  <c r="F206" i="25"/>
  <c r="E206" i="25"/>
  <c r="G205" i="25"/>
  <c r="F205" i="25"/>
  <c r="E205" i="25"/>
  <c r="B205" i="25"/>
  <c r="G204" i="25"/>
  <c r="F204" i="25"/>
  <c r="E204" i="25"/>
  <c r="B204" i="25"/>
  <c r="G203" i="25"/>
  <c r="F203" i="25"/>
  <c r="E203" i="25"/>
  <c r="G202" i="25"/>
  <c r="G201" i="25" s="1"/>
  <c r="F202" i="25"/>
  <c r="E202" i="25"/>
  <c r="B202" i="25"/>
  <c r="F201" i="25"/>
  <c r="E201" i="25"/>
  <c r="B201" i="25"/>
  <c r="G200" i="25"/>
  <c r="F200" i="25"/>
  <c r="E200" i="25"/>
  <c r="G199" i="25"/>
  <c r="F199" i="25"/>
  <c r="E199" i="25"/>
  <c r="B199" i="25"/>
  <c r="G198" i="25"/>
  <c r="F198" i="25"/>
  <c r="E198" i="25"/>
  <c r="B198" i="25"/>
  <c r="G197" i="25"/>
  <c r="F197" i="25"/>
  <c r="E197" i="25"/>
  <c r="G196" i="25"/>
  <c r="F196" i="25"/>
  <c r="E196" i="25"/>
  <c r="B196" i="25"/>
  <c r="G195" i="25"/>
  <c r="F195" i="25"/>
  <c r="E195" i="25"/>
  <c r="B195" i="25"/>
  <c r="G194" i="25"/>
  <c r="F194" i="25"/>
  <c r="E194" i="25"/>
  <c r="G193" i="25"/>
  <c r="F193" i="25"/>
  <c r="E193" i="25"/>
  <c r="B193" i="25"/>
  <c r="G192" i="25"/>
  <c r="F192" i="25"/>
  <c r="E192" i="25"/>
  <c r="B192" i="25"/>
  <c r="G191" i="25"/>
  <c r="F191" i="25"/>
  <c r="E191" i="25"/>
  <c r="G190" i="25"/>
  <c r="G189" i="25" s="1"/>
  <c r="F190" i="25"/>
  <c r="E190" i="25"/>
  <c r="B190" i="25"/>
  <c r="F189" i="25"/>
  <c r="E189" i="25"/>
  <c r="B189" i="25"/>
  <c r="G188" i="25"/>
  <c r="F188" i="25"/>
  <c r="E188" i="25"/>
  <c r="G187" i="25"/>
  <c r="G186" i="25" s="1"/>
  <c r="F187" i="25"/>
  <c r="E187" i="25"/>
  <c r="B187" i="25"/>
  <c r="F186" i="25"/>
  <c r="E186" i="25"/>
  <c r="B186" i="25"/>
  <c r="G185" i="25"/>
  <c r="F185" i="25"/>
  <c r="E185" i="25"/>
  <c r="G184" i="25"/>
  <c r="F184" i="25"/>
  <c r="F183" i="25" s="1"/>
  <c r="E184" i="25"/>
  <c r="B184" i="25"/>
  <c r="G183" i="25"/>
  <c r="E183" i="25"/>
  <c r="B183" i="25"/>
  <c r="G182" i="25"/>
  <c r="F182" i="25"/>
  <c r="E182" i="25"/>
  <c r="G181" i="25"/>
  <c r="F181" i="25"/>
  <c r="E181" i="25"/>
  <c r="B181" i="25"/>
  <c r="G180" i="25"/>
  <c r="F180" i="25"/>
  <c r="E180" i="25"/>
  <c r="B180" i="25"/>
  <c r="G179" i="25"/>
  <c r="F179" i="25"/>
  <c r="E179" i="25"/>
  <c r="G178" i="25"/>
  <c r="G177" i="25" s="1"/>
  <c r="F178" i="25"/>
  <c r="E178" i="25"/>
  <c r="B178" i="25"/>
  <c r="F177" i="25"/>
  <c r="E177" i="25"/>
  <c r="B177" i="25"/>
  <c r="G176" i="25"/>
  <c r="F176" i="25"/>
  <c r="E176" i="25"/>
  <c r="G175" i="25"/>
  <c r="F175" i="25"/>
  <c r="E175" i="25"/>
  <c r="B175" i="25"/>
  <c r="G174" i="25"/>
  <c r="F174" i="25"/>
  <c r="E174" i="25"/>
  <c r="B174" i="25"/>
  <c r="G173" i="25"/>
  <c r="F173" i="25"/>
  <c r="E173" i="25"/>
  <c r="G172" i="25"/>
  <c r="F172" i="25"/>
  <c r="E172" i="25"/>
  <c r="E171" i="25" s="1"/>
  <c r="B172" i="25"/>
  <c r="G171" i="25"/>
  <c r="F171" i="25"/>
  <c r="B171" i="25"/>
  <c r="G170" i="25"/>
  <c r="F170" i="25"/>
  <c r="E170" i="25"/>
  <c r="G169" i="25"/>
  <c r="F169" i="25"/>
  <c r="E169" i="25"/>
  <c r="E168" i="25" s="1"/>
  <c r="B169" i="25"/>
  <c r="G168" i="25"/>
  <c r="F168" i="25"/>
  <c r="B168" i="25"/>
  <c r="G167" i="25"/>
  <c r="F167" i="25"/>
  <c r="E167" i="25"/>
  <c r="G166" i="25"/>
  <c r="F166" i="25"/>
  <c r="E166" i="25"/>
  <c r="B166" i="25"/>
  <c r="G165" i="25"/>
  <c r="F165" i="25"/>
  <c r="E165" i="25"/>
  <c r="B165" i="25"/>
  <c r="G164" i="25"/>
  <c r="F164" i="25"/>
  <c r="E164" i="25"/>
  <c r="G163" i="25"/>
  <c r="F163" i="25"/>
  <c r="F162" i="25" s="1"/>
  <c r="E163" i="25"/>
  <c r="B163" i="25"/>
  <c r="G162" i="25"/>
  <c r="E162" i="25"/>
  <c r="B162" i="25"/>
  <c r="G161" i="25"/>
  <c r="F161" i="25"/>
  <c r="E161" i="25"/>
  <c r="G160" i="25"/>
  <c r="F160" i="25"/>
  <c r="E160" i="25"/>
  <c r="E159" i="25" s="1"/>
  <c r="B160" i="25"/>
  <c r="G159" i="25"/>
  <c r="F159" i="25"/>
  <c r="B159" i="25"/>
  <c r="G158" i="25"/>
  <c r="F158" i="25"/>
  <c r="E158" i="25"/>
  <c r="G157" i="25"/>
  <c r="F157" i="25"/>
  <c r="E157" i="25"/>
  <c r="E156" i="25" s="1"/>
  <c r="B157" i="25"/>
  <c r="G156" i="25"/>
  <c r="F156" i="25"/>
  <c r="B156" i="25"/>
  <c r="G155" i="25"/>
  <c r="F155" i="25"/>
  <c r="E155" i="25"/>
  <c r="G154" i="25"/>
  <c r="F154" i="25"/>
  <c r="E154" i="25"/>
  <c r="B154" i="25"/>
  <c r="G153" i="25"/>
  <c r="F153" i="25"/>
  <c r="E153" i="25"/>
  <c r="B153" i="25"/>
  <c r="G152" i="25"/>
  <c r="F152" i="25"/>
  <c r="E152" i="25"/>
  <c r="G151" i="25"/>
  <c r="G150" i="25" s="1"/>
  <c r="F151" i="25"/>
  <c r="F150" i="25" s="1"/>
  <c r="E151" i="25"/>
  <c r="B151" i="25"/>
  <c r="E150" i="25"/>
  <c r="B150" i="25"/>
  <c r="G149" i="25"/>
  <c r="F149" i="25"/>
  <c r="E149" i="25"/>
  <c r="G148" i="25"/>
  <c r="F148" i="25"/>
  <c r="F147" i="25" s="1"/>
  <c r="E148" i="25"/>
  <c r="E147" i="25" s="1"/>
  <c r="B148" i="25"/>
  <c r="G147" i="25"/>
  <c r="B147" i="25"/>
  <c r="G146" i="25"/>
  <c r="F146" i="25"/>
  <c r="E146" i="25"/>
  <c r="G145" i="25"/>
  <c r="F145" i="25"/>
  <c r="E145" i="25"/>
  <c r="B145" i="25"/>
  <c r="G144" i="25"/>
  <c r="F144" i="25"/>
  <c r="E144" i="25"/>
  <c r="B144" i="25"/>
  <c r="G143" i="25"/>
  <c r="F143" i="25"/>
  <c r="E143" i="25"/>
  <c r="G142" i="25"/>
  <c r="G141" i="25" s="1"/>
  <c r="F142" i="25"/>
  <c r="E142" i="25"/>
  <c r="B142" i="25"/>
  <c r="F141" i="25"/>
  <c r="E141" i="25"/>
  <c r="B141" i="25"/>
  <c r="G140" i="25"/>
  <c r="F140" i="25"/>
  <c r="E140" i="25"/>
  <c r="G139" i="25"/>
  <c r="G138" i="25" s="1"/>
  <c r="F139" i="25"/>
  <c r="F138" i="25" s="1"/>
  <c r="E139" i="25"/>
  <c r="B139" i="25"/>
  <c r="E138" i="25"/>
  <c r="B138" i="25"/>
  <c r="G137" i="25"/>
  <c r="F137" i="25"/>
  <c r="E137" i="25"/>
  <c r="G136" i="25"/>
  <c r="F136" i="25"/>
  <c r="F135" i="25" s="1"/>
  <c r="E136" i="25"/>
  <c r="E135" i="25" s="1"/>
  <c r="B136" i="25"/>
  <c r="G135" i="25"/>
  <c r="B135" i="25"/>
  <c r="G134" i="25"/>
  <c r="F134" i="25"/>
  <c r="E134" i="25"/>
  <c r="I133" i="25"/>
  <c r="G133" i="25"/>
  <c r="F133" i="25"/>
  <c r="E133" i="25"/>
  <c r="E132" i="25" s="1"/>
  <c r="B133" i="25"/>
  <c r="G132" i="25"/>
  <c r="F132" i="25"/>
  <c r="B132" i="25"/>
  <c r="K131" i="25"/>
  <c r="J131" i="25"/>
  <c r="I131" i="25" s="1"/>
  <c r="G131" i="25"/>
  <c r="F131" i="25"/>
  <c r="E131" i="25"/>
  <c r="G130" i="25"/>
  <c r="F130" i="25"/>
  <c r="E130" i="25"/>
  <c r="B130" i="25"/>
  <c r="G129" i="25"/>
  <c r="F129" i="25"/>
  <c r="E129" i="25"/>
  <c r="B129" i="25"/>
  <c r="G128" i="25"/>
  <c r="F128" i="25"/>
  <c r="E128" i="25"/>
  <c r="G127" i="25"/>
  <c r="F127" i="25"/>
  <c r="E127" i="25"/>
  <c r="B127" i="25"/>
  <c r="G126" i="25"/>
  <c r="F126" i="25"/>
  <c r="E126" i="25"/>
  <c r="B126" i="25"/>
  <c r="G125" i="25"/>
  <c r="F125" i="25"/>
  <c r="E125" i="25"/>
  <c r="G124" i="25"/>
  <c r="F124" i="25"/>
  <c r="E124" i="25"/>
  <c r="B124" i="25"/>
  <c r="G123" i="25"/>
  <c r="F123" i="25"/>
  <c r="E123" i="25"/>
  <c r="B123" i="25"/>
  <c r="G122" i="25"/>
  <c r="F122" i="25"/>
  <c r="E122" i="25"/>
  <c r="G121" i="25"/>
  <c r="F121" i="25"/>
  <c r="E121" i="25"/>
  <c r="B121" i="25"/>
  <c r="G120" i="25"/>
  <c r="F120" i="25"/>
  <c r="E120" i="25"/>
  <c r="B120" i="25"/>
  <c r="G119" i="25"/>
  <c r="F119" i="25"/>
  <c r="E119" i="25"/>
  <c r="G118" i="25"/>
  <c r="F118" i="25"/>
  <c r="E118" i="25"/>
  <c r="E117" i="25" s="1"/>
  <c r="B118" i="25"/>
  <c r="G117" i="25"/>
  <c r="F117" i="25"/>
  <c r="B117" i="25"/>
  <c r="G116" i="25"/>
  <c r="F116" i="25"/>
  <c r="E116" i="25"/>
  <c r="G115" i="25"/>
  <c r="F115" i="25"/>
  <c r="E115" i="25"/>
  <c r="B115" i="25"/>
  <c r="G114" i="25"/>
  <c r="F114" i="25"/>
  <c r="E114" i="25"/>
  <c r="B114" i="25"/>
  <c r="G113" i="25"/>
  <c r="F113" i="25"/>
  <c r="E113" i="25"/>
  <c r="G112" i="25"/>
  <c r="F112" i="25"/>
  <c r="F111" i="25" s="1"/>
  <c r="E112" i="25"/>
  <c r="B112" i="25"/>
  <c r="G111" i="25"/>
  <c r="E111" i="25"/>
  <c r="B111" i="25"/>
  <c r="G110" i="25"/>
  <c r="F110" i="25"/>
  <c r="E110" i="25"/>
  <c r="G109" i="25"/>
  <c r="F109" i="25"/>
  <c r="F108" i="25" s="1"/>
  <c r="E109" i="25"/>
  <c r="B109" i="25"/>
  <c r="G108" i="25"/>
  <c r="E108" i="25"/>
  <c r="B108" i="25"/>
  <c r="G107" i="25"/>
  <c r="F107" i="25"/>
  <c r="E107" i="25"/>
  <c r="G106" i="25"/>
  <c r="F106" i="25"/>
  <c r="E106" i="25"/>
  <c r="B106" i="25"/>
  <c r="G105" i="25"/>
  <c r="F105" i="25"/>
  <c r="E105" i="25"/>
  <c r="B105" i="25"/>
  <c r="G104" i="25"/>
  <c r="F104" i="25"/>
  <c r="E104" i="25"/>
  <c r="G103" i="25"/>
  <c r="F103" i="25"/>
  <c r="E103" i="25"/>
  <c r="B103" i="25"/>
  <c r="G102" i="25"/>
  <c r="F102" i="25"/>
  <c r="E102" i="25"/>
  <c r="B102" i="25"/>
  <c r="G101" i="25"/>
  <c r="F101" i="25"/>
  <c r="E101" i="25"/>
  <c r="G100" i="25"/>
  <c r="F100" i="25"/>
  <c r="E100" i="25"/>
  <c r="B100" i="25"/>
  <c r="G99" i="25"/>
  <c r="F99" i="25"/>
  <c r="E99" i="25"/>
  <c r="B99" i="25"/>
  <c r="G98" i="25"/>
  <c r="F98" i="25"/>
  <c r="E98" i="25"/>
  <c r="G97" i="25"/>
  <c r="F97" i="25"/>
  <c r="E97" i="25"/>
  <c r="E96" i="25" s="1"/>
  <c r="B97" i="25"/>
  <c r="G96" i="25"/>
  <c r="F96" i="25"/>
  <c r="B96" i="25"/>
  <c r="G95" i="25"/>
  <c r="F95" i="25"/>
  <c r="E95" i="25"/>
  <c r="G94" i="25"/>
  <c r="F94" i="25"/>
  <c r="E94" i="25"/>
  <c r="B94" i="25"/>
  <c r="G93" i="25"/>
  <c r="F93" i="25"/>
  <c r="E93" i="25"/>
  <c r="B93" i="25"/>
  <c r="G92" i="25"/>
  <c r="F92" i="25"/>
  <c r="E92" i="25"/>
  <c r="G91" i="25"/>
  <c r="F91" i="25"/>
  <c r="E91" i="25"/>
  <c r="B91" i="25"/>
  <c r="G90" i="25"/>
  <c r="F90" i="25"/>
  <c r="E90" i="25"/>
  <c r="B90" i="25"/>
  <c r="G89" i="25"/>
  <c r="F89" i="25"/>
  <c r="E89" i="25"/>
  <c r="G88" i="25"/>
  <c r="F88" i="25"/>
  <c r="F87" i="25" s="1"/>
  <c r="E88" i="25"/>
  <c r="B88" i="25"/>
  <c r="G87" i="25"/>
  <c r="E87" i="25"/>
  <c r="B87" i="25"/>
  <c r="G86" i="25"/>
  <c r="F86" i="25"/>
  <c r="E86" i="25"/>
  <c r="G85" i="25"/>
  <c r="F85" i="25"/>
  <c r="E85" i="25"/>
  <c r="E84" i="25" s="1"/>
  <c r="B85" i="25"/>
  <c r="G84" i="25"/>
  <c r="F84" i="25"/>
  <c r="B84" i="25"/>
  <c r="G83" i="25"/>
  <c r="F83" i="25"/>
  <c r="E83" i="25"/>
  <c r="K81" i="25"/>
  <c r="J81" i="25"/>
  <c r="I81" i="25" s="1"/>
  <c r="G81" i="25"/>
  <c r="F81" i="25"/>
  <c r="E81" i="25"/>
  <c r="G79" i="25"/>
  <c r="F79" i="25"/>
  <c r="E79" i="25"/>
  <c r="G78" i="25"/>
  <c r="F78" i="25"/>
  <c r="E78" i="25"/>
  <c r="E77" i="25" s="1"/>
  <c r="B78" i="25"/>
  <c r="G77" i="25"/>
  <c r="F77" i="25"/>
  <c r="B77" i="25"/>
  <c r="G76" i="25"/>
  <c r="F76" i="25"/>
  <c r="E76" i="25"/>
  <c r="G75" i="25"/>
  <c r="F75" i="25"/>
  <c r="E75" i="25"/>
  <c r="E74" i="25" s="1"/>
  <c r="B75" i="25"/>
  <c r="G74" i="25"/>
  <c r="F74" i="25"/>
  <c r="B74" i="25"/>
  <c r="G73" i="25"/>
  <c r="F73" i="25"/>
  <c r="E73" i="25"/>
  <c r="G72" i="25"/>
  <c r="F72" i="25"/>
  <c r="E72" i="25"/>
  <c r="B72" i="25"/>
  <c r="G71" i="25"/>
  <c r="F71" i="25"/>
  <c r="E71" i="25"/>
  <c r="B71" i="25"/>
  <c r="G70" i="25"/>
  <c r="F70" i="25"/>
  <c r="E70" i="25"/>
  <c r="G69" i="25"/>
  <c r="F69" i="25"/>
  <c r="E69" i="25"/>
  <c r="B69" i="25"/>
  <c r="G68" i="25"/>
  <c r="F68" i="25"/>
  <c r="E68" i="25"/>
  <c r="B68" i="25"/>
  <c r="G67" i="25"/>
  <c r="F67" i="25"/>
  <c r="E67" i="25"/>
  <c r="G66" i="25"/>
  <c r="F66" i="25"/>
  <c r="E66" i="25"/>
  <c r="E65" i="25" s="1"/>
  <c r="B66" i="25"/>
  <c r="G65" i="25"/>
  <c r="F65" i="25"/>
  <c r="B65" i="25"/>
  <c r="G64" i="25"/>
  <c r="F64" i="25"/>
  <c r="E64" i="25"/>
  <c r="G63" i="25"/>
  <c r="F63" i="25"/>
  <c r="E63" i="25"/>
  <c r="E62" i="25" s="1"/>
  <c r="B63" i="25"/>
  <c r="G62" i="25"/>
  <c r="F62" i="25"/>
  <c r="B62" i="25"/>
  <c r="G61" i="25"/>
  <c r="F61" i="25"/>
  <c r="E61" i="25"/>
  <c r="G60" i="25"/>
  <c r="F60" i="25"/>
  <c r="E60" i="25"/>
  <c r="B60" i="25"/>
  <c r="G59" i="25"/>
  <c r="F59" i="25"/>
  <c r="E59" i="25"/>
  <c r="B59" i="25"/>
  <c r="G58" i="25"/>
  <c r="F58" i="25"/>
  <c r="E58" i="25"/>
  <c r="G57" i="25"/>
  <c r="G56" i="25" s="1"/>
  <c r="F57" i="25"/>
  <c r="F56" i="25" s="1"/>
  <c r="E57" i="25"/>
  <c r="B57" i="25"/>
  <c r="E56" i="25"/>
  <c r="B56" i="25"/>
  <c r="G55" i="25"/>
  <c r="F55" i="25"/>
  <c r="E55" i="25"/>
  <c r="K53" i="25"/>
  <c r="J53" i="25"/>
  <c r="I53" i="25" s="1"/>
  <c r="G53" i="25"/>
  <c r="F53" i="25"/>
  <c r="E53" i="25"/>
  <c r="G51" i="25"/>
  <c r="F51" i="25"/>
  <c r="E51" i="25"/>
  <c r="G50" i="25"/>
  <c r="F50" i="25"/>
  <c r="E50" i="25"/>
  <c r="B50" i="25"/>
  <c r="G49" i="25"/>
  <c r="F49" i="25"/>
  <c r="E49" i="25"/>
  <c r="B49" i="25"/>
  <c r="G48" i="25"/>
  <c r="F48" i="25"/>
  <c r="E48" i="25"/>
  <c r="G47" i="25"/>
  <c r="F47" i="25"/>
  <c r="E47" i="25"/>
  <c r="B47" i="25"/>
  <c r="G46" i="25"/>
  <c r="F46" i="25"/>
  <c r="E46" i="25"/>
  <c r="B46" i="25"/>
  <c r="G45" i="25"/>
  <c r="F45" i="25"/>
  <c r="E45" i="25"/>
  <c r="G44" i="25"/>
  <c r="F44" i="25"/>
  <c r="E44" i="25"/>
  <c r="B44" i="25"/>
  <c r="G43" i="25"/>
  <c r="F43" i="25"/>
  <c r="E43" i="25"/>
  <c r="B43" i="25"/>
  <c r="G42" i="25"/>
  <c r="F42" i="25"/>
  <c r="E42" i="25"/>
  <c r="G41" i="25"/>
  <c r="G40" i="25" s="1"/>
  <c r="F41" i="25"/>
  <c r="E41" i="25"/>
  <c r="B41" i="25"/>
  <c r="F40" i="25"/>
  <c r="E40" i="25"/>
  <c r="B40" i="25"/>
  <c r="G39" i="25"/>
  <c r="F39" i="25"/>
  <c r="E39" i="25"/>
  <c r="G38" i="25"/>
  <c r="F38" i="25"/>
  <c r="E38" i="25"/>
  <c r="B38" i="25"/>
  <c r="G37" i="25"/>
  <c r="F37" i="25"/>
  <c r="E37" i="25"/>
  <c r="B37" i="25"/>
  <c r="G36" i="25"/>
  <c r="F36" i="25"/>
  <c r="E36" i="25"/>
  <c r="G35" i="25"/>
  <c r="F35" i="25"/>
  <c r="E35" i="25"/>
  <c r="E34" i="25" s="1"/>
  <c r="B35" i="25"/>
  <c r="G34" i="25"/>
  <c r="F34" i="25"/>
  <c r="B34" i="25"/>
  <c r="G33" i="25"/>
  <c r="F33" i="25"/>
  <c r="E33" i="25"/>
  <c r="G32" i="25"/>
  <c r="F32" i="25"/>
  <c r="E32" i="25"/>
  <c r="B32" i="25"/>
  <c r="G31" i="25"/>
  <c r="F31" i="25"/>
  <c r="E31" i="25"/>
  <c r="B31" i="25"/>
  <c r="G30" i="25"/>
  <c r="F30" i="25"/>
  <c r="E30" i="25"/>
  <c r="G29" i="25"/>
  <c r="G28" i="25" s="1"/>
  <c r="F29" i="25"/>
  <c r="E29" i="25"/>
  <c r="B29" i="25"/>
  <c r="F28" i="25"/>
  <c r="E28" i="25"/>
  <c r="B28" i="25"/>
  <c r="G27" i="25"/>
  <c r="F27" i="25"/>
  <c r="E27" i="25"/>
  <c r="G26" i="25"/>
  <c r="G25" i="25" s="1"/>
  <c r="F26" i="25"/>
  <c r="F25" i="25" s="1"/>
  <c r="E26" i="25"/>
  <c r="B26" i="25"/>
  <c r="E25" i="25"/>
  <c r="B25" i="25"/>
  <c r="G24" i="25"/>
  <c r="F24" i="25"/>
  <c r="E24" i="25"/>
  <c r="G23" i="25"/>
  <c r="F23" i="25"/>
  <c r="E23" i="25"/>
  <c r="E22" i="25" s="1"/>
  <c r="B23" i="25"/>
  <c r="G22" i="25"/>
  <c r="F22" i="25"/>
  <c r="B22" i="25"/>
  <c r="G21" i="25"/>
  <c r="F21" i="25"/>
  <c r="E21" i="25"/>
  <c r="G20" i="25"/>
  <c r="F20" i="25"/>
  <c r="E20" i="25"/>
  <c r="B20" i="25"/>
  <c r="G19" i="25"/>
  <c r="F19" i="25"/>
  <c r="E19" i="25"/>
  <c r="B19" i="25"/>
  <c r="G18" i="25"/>
  <c r="F18" i="25"/>
  <c r="E18" i="25"/>
  <c r="K16" i="25"/>
  <c r="K14" i="25" s="1"/>
  <c r="J16" i="25"/>
  <c r="G16" i="25"/>
  <c r="F16" i="25"/>
  <c r="E16" i="25"/>
  <c r="J14" i="25"/>
  <c r="G14" i="25"/>
  <c r="F14" i="25"/>
  <c r="E14" i="25"/>
  <c r="I10" i="25"/>
  <c r="I9" i="25"/>
  <c r="K6" i="25"/>
  <c r="J6" i="25"/>
  <c r="J4" i="25" s="1"/>
  <c r="I6" i="25"/>
  <c r="I4" i="25" s="1"/>
  <c r="K4" i="25"/>
  <c r="I14" i="25" l="1"/>
  <c r="I16" i="25"/>
  <c r="I132" i="25"/>
  <c r="R80" i="4" l="1"/>
  <c r="S103" i="4"/>
  <c r="U75" i="3"/>
  <c r="W78" i="4" l="1"/>
  <c r="X78" i="4" s="1"/>
  <c r="X75" i="3" l="1"/>
  <c r="Y75" i="3" s="1"/>
  <c r="AA89" i="3" l="1"/>
  <c r="Y100" i="4"/>
  <c r="S100" i="4"/>
  <c r="R100" i="4"/>
  <c r="R99" i="4"/>
  <c r="S99" i="4" s="1"/>
  <c r="R98" i="4"/>
  <c r="S98" i="4" s="1"/>
  <c r="Y97" i="4"/>
  <c r="T97" i="4"/>
  <c r="S97" i="4"/>
  <c r="R97" i="4"/>
  <c r="Y96" i="4"/>
  <c r="X96" i="4" s="1"/>
  <c r="W96" i="4"/>
  <c r="S96" i="4"/>
  <c r="T96" i="4" s="1"/>
  <c r="R96" i="4"/>
  <c r="P96" i="4" s="1"/>
  <c r="Q96" i="4" l="1"/>
  <c r="T95" i="4"/>
  <c r="W95" i="4" s="1"/>
  <c r="W97" i="4" s="1"/>
  <c r="U96" i="4"/>
  <c r="X41" i="4"/>
  <c r="Y101" i="4"/>
  <c r="Y95" i="4"/>
  <c r="S102" i="4"/>
  <c r="S101" i="4"/>
  <c r="R102" i="4"/>
  <c r="R95" i="4" l="1"/>
  <c r="S95" i="4"/>
  <c r="T102" i="4" s="1"/>
  <c r="AB41" i="3" l="1"/>
  <c r="AF17" i="4" l="1"/>
  <c r="AF16" i="4"/>
  <c r="T13" i="4"/>
  <c r="T12" i="4"/>
  <c r="U26" i="3"/>
  <c r="AJ27" i="3"/>
  <c r="AJ28" i="3"/>
  <c r="AJ29" i="3"/>
  <c r="AJ30" i="3"/>
  <c r="AJ31" i="3"/>
  <c r="AI26" i="3"/>
  <c r="AI24" i="3" s="1"/>
  <c r="U24" i="3" s="1"/>
  <c r="G20" i="19" s="1"/>
  <c r="W24" i="3" s="1"/>
  <c r="P31" i="24" l="1"/>
  <c r="O31" i="24"/>
  <c r="N31" i="24"/>
  <c r="M31" i="24"/>
  <c r="L31" i="24"/>
  <c r="K31" i="24"/>
  <c r="G30" i="24"/>
  <c r="F30" i="24"/>
  <c r="G32" i="24" s="1"/>
  <c r="E30" i="24"/>
  <c r="D30" i="24"/>
  <c r="E29" i="24"/>
  <c r="D29" i="24"/>
  <c r="Q28" i="24"/>
  <c r="F28" i="24"/>
  <c r="L27" i="24" s="1"/>
  <c r="D28" i="24"/>
  <c r="E27" i="24"/>
  <c r="D27" i="24"/>
  <c r="I26" i="24"/>
  <c r="J26" i="24" s="1"/>
  <c r="J24" i="24" s="1"/>
  <c r="G26" i="24"/>
  <c r="G28" i="24" s="1"/>
  <c r="F26" i="24"/>
  <c r="F25" i="24"/>
  <c r="I25" i="24" s="1"/>
  <c r="I24" i="24"/>
  <c r="E21" i="24"/>
  <c r="E28" i="24" s="1"/>
  <c r="H20" i="24"/>
  <c r="H30" i="24" s="1"/>
  <c r="G20" i="24"/>
  <c r="M16" i="24"/>
  <c r="Q14" i="24"/>
  <c r="J13" i="24"/>
  <c r="I13" i="24"/>
  <c r="H11" i="24"/>
  <c r="E11" i="24"/>
  <c r="E13" i="24" s="1"/>
  <c r="D11" i="24"/>
  <c r="J9" i="24"/>
  <c r="I9" i="24"/>
  <c r="H9" i="24"/>
  <c r="F9" i="24"/>
  <c r="G8" i="24"/>
  <c r="G14" i="24" s="1"/>
  <c r="F8" i="24"/>
  <c r="I27" i="24" l="1"/>
  <c r="J25" i="24"/>
  <c r="J27" i="24" s="1"/>
  <c r="E14" i="24"/>
  <c r="F27" i="24"/>
  <c r="F29" i="24" s="1"/>
  <c r="G29" i="24"/>
  <c r="I29" i="24"/>
  <c r="I30" i="24" s="1"/>
  <c r="F11" i="24"/>
  <c r="D12" i="24"/>
  <c r="H26" i="24"/>
  <c r="H29" i="24" s="1"/>
  <c r="L12" i="24" l="1"/>
  <c r="D13" i="24"/>
  <c r="D14" i="24"/>
  <c r="F12" i="24"/>
  <c r="F13" i="24" s="1"/>
  <c r="F14" i="24" l="1"/>
  <c r="P31" i="23" l="1"/>
  <c r="O31" i="23"/>
  <c r="N31" i="23"/>
  <c r="M31" i="23"/>
  <c r="L31" i="23"/>
  <c r="K31" i="23"/>
  <c r="G30" i="23"/>
  <c r="F30" i="23"/>
  <c r="G32" i="23" s="1"/>
  <c r="D30" i="23"/>
  <c r="E29" i="23"/>
  <c r="D29" i="23"/>
  <c r="Q28" i="23"/>
  <c r="D28" i="23"/>
  <c r="E27" i="23"/>
  <c r="D27" i="23"/>
  <c r="G26" i="23"/>
  <c r="G28" i="23" s="1"/>
  <c r="F26" i="23"/>
  <c r="F28" i="23" s="1"/>
  <c r="F25" i="23"/>
  <c r="I25" i="23" s="1"/>
  <c r="E21" i="23"/>
  <c r="E28" i="23" s="1"/>
  <c r="G20" i="23"/>
  <c r="H20" i="23" s="1"/>
  <c r="H30" i="23" s="1"/>
  <c r="M16" i="23"/>
  <c r="Q14" i="23"/>
  <c r="J13" i="23"/>
  <c r="I13" i="23"/>
  <c r="H11" i="23"/>
  <c r="E11" i="23"/>
  <c r="E13" i="23" s="1"/>
  <c r="D11" i="23"/>
  <c r="J9" i="23"/>
  <c r="I9" i="23"/>
  <c r="H9" i="23"/>
  <c r="F9" i="23"/>
  <c r="G8" i="23"/>
  <c r="G14" i="23" s="1"/>
  <c r="F8" i="23"/>
  <c r="J25" i="23" l="1"/>
  <c r="L27" i="23"/>
  <c r="E14" i="23"/>
  <c r="I26" i="23"/>
  <c r="F27" i="23"/>
  <c r="F29" i="23" s="1"/>
  <c r="G29" i="23"/>
  <c r="E30" i="23"/>
  <c r="F11" i="23"/>
  <c r="F12" i="23" s="1"/>
  <c r="D12" i="23"/>
  <c r="L12" i="23" s="1"/>
  <c r="H26" i="23"/>
  <c r="H29" i="23" s="1"/>
  <c r="F13" i="23" l="1"/>
  <c r="J26" i="23"/>
  <c r="J24" i="23" s="1"/>
  <c r="I29" i="23"/>
  <c r="I30" i="23" s="1"/>
  <c r="I24" i="23"/>
  <c r="D13" i="23"/>
  <c r="D14" i="23"/>
  <c r="F14" i="23"/>
  <c r="I27" i="23"/>
  <c r="J27" i="23" l="1"/>
  <c r="AC22" i="4" l="1"/>
  <c r="AF22" i="4" s="1"/>
  <c r="AH22" i="4" s="1"/>
  <c r="AF26" i="3"/>
  <c r="AJ26" i="3" s="1"/>
  <c r="Q74" i="4" l="1"/>
  <c r="T46" i="4" l="1"/>
  <c r="T48" i="4" s="1"/>
  <c r="Q73" i="4" s="1"/>
  <c r="G27" i="21"/>
  <c r="T30" i="4" s="1"/>
  <c r="R446" i="14"/>
  <c r="R439" i="14"/>
  <c r="T26" i="4"/>
  <c r="U48" i="3"/>
  <c r="T56" i="3" s="1"/>
  <c r="R431" i="13"/>
  <c r="R436" i="13"/>
  <c r="R443" i="13"/>
  <c r="R434" i="13"/>
  <c r="R432" i="13"/>
  <c r="R438" i="13"/>
  <c r="U10" i="3"/>
  <c r="D26" i="21"/>
  <c r="D25" i="21"/>
  <c r="D19" i="21"/>
  <c r="D20" i="21"/>
  <c r="E36" i="21"/>
  <c r="D31" i="21"/>
  <c r="C53" i="21"/>
  <c r="E48" i="21"/>
  <c r="F43" i="21"/>
  <c r="G30" i="21"/>
  <c r="D30" i="21"/>
  <c r="T22" i="4"/>
  <c r="G23" i="19"/>
  <c r="G29" i="19"/>
  <c r="E19" i="19"/>
  <c r="D30" i="19"/>
  <c r="E29" i="19"/>
  <c r="D29" i="19"/>
  <c r="D24" i="19"/>
  <c r="C52" i="19"/>
  <c r="E49" i="19"/>
  <c r="E48" i="19"/>
  <c r="E50" i="19"/>
  <c r="F42" i="19"/>
  <c r="T73" i="3" l="1"/>
  <c r="E19" i="21"/>
  <c r="D28" i="21"/>
  <c r="G19" i="21"/>
  <c r="V10" i="4" s="1"/>
  <c r="D18" i="21"/>
  <c r="G26" i="21"/>
  <c r="V27" i="4" s="1"/>
  <c r="E26" i="21"/>
  <c r="E51" i="21"/>
  <c r="Q75" i="4"/>
  <c r="R73" i="4"/>
  <c r="U56" i="3"/>
  <c r="U76" i="3" s="1"/>
  <c r="G43" i="21"/>
  <c r="G44" i="21" s="1"/>
  <c r="T10" i="4"/>
  <c r="G42" i="19"/>
  <c r="G43" i="19" s="1"/>
  <c r="V56" i="3" l="1"/>
  <c r="Y48" i="4" l="1"/>
  <c r="W48" i="4"/>
  <c r="S48" i="4"/>
  <c r="Q48" i="4"/>
  <c r="Y12" i="4"/>
  <c r="Z48" i="3" l="1"/>
  <c r="X48" i="3"/>
  <c r="T48" i="3"/>
  <c r="R48" i="3"/>
  <c r="P31" i="3"/>
  <c r="P26" i="3"/>
  <c r="P19" i="3"/>
  <c r="P12" i="3"/>
  <c r="S326" i="1"/>
  <c r="P33" i="3"/>
  <c r="D26" i="19" l="1"/>
  <c r="L19" i="6"/>
  <c r="L18" i="6"/>
  <c r="Q30" i="4" l="1"/>
  <c r="Q28" i="4" s="1"/>
  <c r="O11" i="4"/>
  <c r="O12" i="4"/>
  <c r="T54" i="2"/>
  <c r="T60" i="2"/>
  <c r="T55" i="2"/>
  <c r="T61" i="2" s="1"/>
  <c r="T57" i="2"/>
  <c r="T63" i="2" s="1"/>
  <c r="U60" i="2"/>
  <c r="U63" i="2"/>
  <c r="R60" i="2"/>
  <c r="R59" i="2" s="1"/>
  <c r="R17" i="2" s="1"/>
  <c r="R61" i="2"/>
  <c r="R63" i="2"/>
  <c r="V218" i="2"/>
  <c r="U137" i="2"/>
  <c r="W128" i="2"/>
  <c r="X106" i="2"/>
  <c r="Z106" i="2"/>
  <c r="AA119" i="2"/>
  <c r="Y119" i="2"/>
  <c r="W119" i="2"/>
  <c r="T63" i="8"/>
  <c r="V63" i="8"/>
  <c r="V119" i="2"/>
  <c r="V115" i="2"/>
  <c r="Z63" i="8"/>
  <c r="Z62" i="8"/>
  <c r="AA115" i="1"/>
  <c r="X62" i="8"/>
  <c r="Y115" i="1"/>
  <c r="V62" i="8"/>
  <c r="W115" i="1"/>
  <c r="V115" i="1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10" i="8"/>
  <c r="T57" i="8"/>
  <c r="Q57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14" i="8"/>
  <c r="AF66" i="8"/>
  <c r="AF65" i="8"/>
  <c r="AF63" i="8"/>
  <c r="AF62" i="8"/>
  <c r="Q11" i="8"/>
  <c r="Q12" i="8"/>
  <c r="Q13" i="8"/>
  <c r="Q10" i="8"/>
  <c r="T62" i="8"/>
  <c r="R63" i="8"/>
  <c r="R62" i="8"/>
  <c r="S17" i="8"/>
  <c r="S57" i="8"/>
  <c r="S119" i="2"/>
  <c r="S115" i="2" s="1"/>
  <c r="M297" i="14"/>
  <c r="S109" i="1"/>
  <c r="S104" i="1"/>
  <c r="S115" i="1"/>
  <c r="S111" i="2"/>
  <c r="V111" i="1"/>
  <c r="M301" i="13"/>
  <c r="O301" i="13" s="1"/>
  <c r="S196" i="1"/>
  <c r="S111" i="1"/>
  <c r="R37" i="8"/>
  <c r="S37" i="8"/>
  <c r="S38" i="8"/>
  <c r="R57" i="8"/>
  <c r="AD62" i="8"/>
  <c r="AD63" i="8"/>
  <c r="AC62" i="8"/>
  <c r="M299" i="14"/>
  <c r="O299" i="14" s="1"/>
  <c r="V114" i="2" s="1"/>
  <c r="N300" i="14"/>
  <c r="O297" i="14"/>
  <c r="V111" i="2" s="1"/>
  <c r="P300" i="14"/>
  <c r="Q297" i="14"/>
  <c r="W111" i="2" s="1"/>
  <c r="R300" i="14"/>
  <c r="T300" i="14"/>
  <c r="M298" i="14"/>
  <c r="O298" i="14" s="1"/>
  <c r="S108" i="2"/>
  <c r="S106" i="2" s="1"/>
  <c r="M284" i="14"/>
  <c r="M300" i="14" s="1"/>
  <c r="O284" i="14"/>
  <c r="U20" i="2"/>
  <c r="U21" i="2"/>
  <c r="U22" i="2"/>
  <c r="U23" i="2"/>
  <c r="S20" i="2"/>
  <c r="S21" i="2"/>
  <c r="S22" i="2"/>
  <c r="S23" i="2"/>
  <c r="W20" i="2"/>
  <c r="W54" i="2"/>
  <c r="W21" i="2"/>
  <c r="W55" i="2"/>
  <c r="W23" i="2"/>
  <c r="W57" i="2"/>
  <c r="W56" i="2"/>
  <c r="W22" i="2"/>
  <c r="W77" i="2"/>
  <c r="AC20" i="4" s="1"/>
  <c r="AF20" i="4" s="1"/>
  <c r="AH20" i="4" s="1"/>
  <c r="W79" i="2"/>
  <c r="AC21" i="4" s="1"/>
  <c r="AF21" i="4" s="1"/>
  <c r="AH21" i="4" s="1"/>
  <c r="V20" i="2"/>
  <c r="V54" i="2"/>
  <c r="V21" i="2"/>
  <c r="V55" i="2"/>
  <c r="V23" i="2"/>
  <c r="V57" i="2"/>
  <c r="V56" i="2"/>
  <c r="V22" i="2"/>
  <c r="V77" i="2"/>
  <c r="V79" i="2"/>
  <c r="Q266" i="14"/>
  <c r="Q264" i="14"/>
  <c r="Q265" i="14"/>
  <c r="O265" i="14"/>
  <c r="O266" i="14"/>
  <c r="O264" i="14"/>
  <c r="O271" i="14"/>
  <c r="M266" i="14"/>
  <c r="M265" i="14"/>
  <c r="M264" i="14"/>
  <c r="S54" i="2"/>
  <c r="S55" i="2"/>
  <c r="S57" i="2"/>
  <c r="S56" i="2"/>
  <c r="S14" i="2"/>
  <c r="M57" i="14"/>
  <c r="O57" i="14" s="1"/>
  <c r="AA111" i="1"/>
  <c r="Y111" i="1"/>
  <c r="Z46" i="3"/>
  <c r="X46" i="3"/>
  <c r="W60" i="1"/>
  <c r="W20" i="1"/>
  <c r="W18" i="1"/>
  <c r="W111" i="1"/>
  <c r="T19" i="3"/>
  <c r="T46" i="3"/>
  <c r="T22" i="3"/>
  <c r="T14" i="3"/>
  <c r="S23" i="3"/>
  <c r="S21" i="3" s="1"/>
  <c r="S20" i="3"/>
  <c r="S22" i="3" s="1"/>
  <c r="S28" i="3"/>
  <c r="S2" i="3" s="1"/>
  <c r="S30" i="3"/>
  <c r="S29" i="3" s="1"/>
  <c r="U16" i="3"/>
  <c r="Y16" i="3" s="1"/>
  <c r="AA16" i="3" s="1"/>
  <c r="U23" i="3"/>
  <c r="U30" i="3"/>
  <c r="Y23" i="3"/>
  <c r="Y28" i="3"/>
  <c r="AA28" i="3" s="1"/>
  <c r="Y30" i="3"/>
  <c r="R46" i="3"/>
  <c r="R115" i="1"/>
  <c r="R111" i="1" s="1"/>
  <c r="R61" i="1"/>
  <c r="R62" i="1"/>
  <c r="R60" i="1" s="1"/>
  <c r="R18" i="1" s="1"/>
  <c r="P29" i="3"/>
  <c r="R20" i="3"/>
  <c r="T17" i="1" s="1"/>
  <c r="S11" i="3"/>
  <c r="V171" i="1"/>
  <c r="V325" i="1" s="1"/>
  <c r="V172" i="1"/>
  <c r="R28" i="3" s="1"/>
  <c r="AQ47" i="5"/>
  <c r="AS47" i="5"/>
  <c r="AL38" i="5"/>
  <c r="AL51" i="5" s="1"/>
  <c r="AK60" i="5" s="1"/>
  <c r="AL49" i="5"/>
  <c r="AL47" i="5" s="1"/>
  <c r="S134" i="1"/>
  <c r="AA133" i="1"/>
  <c r="T108" i="1"/>
  <c r="N301" i="13"/>
  <c r="T299" i="13"/>
  <c r="P298" i="13"/>
  <c r="R298" i="13"/>
  <c r="T298" i="13"/>
  <c r="V298" i="13"/>
  <c r="M300" i="13"/>
  <c r="O300" i="13" s="1"/>
  <c r="M299" i="13"/>
  <c r="N299" i="13"/>
  <c r="N300" i="13"/>
  <c r="S108" i="1"/>
  <c r="S10" i="1"/>
  <c r="S9" i="1" s="1"/>
  <c r="S14" i="1"/>
  <c r="S15" i="1"/>
  <c r="S78" i="1"/>
  <c r="S80" i="1"/>
  <c r="S82" i="1"/>
  <c r="S86" i="1"/>
  <c r="S87" i="1"/>
  <c r="S117" i="1"/>
  <c r="S116" i="1" s="1"/>
  <c r="S119" i="1"/>
  <c r="S172" i="1"/>
  <c r="P28" i="3" s="1"/>
  <c r="S171" i="1"/>
  <c r="S325" i="1" s="1"/>
  <c r="S135" i="1"/>
  <c r="M285" i="13"/>
  <c r="O285" i="13" s="1"/>
  <c r="U263" i="13"/>
  <c r="U264" i="13"/>
  <c r="S264" i="13"/>
  <c r="S263" i="13"/>
  <c r="Q265" i="13"/>
  <c r="Q264" i="13"/>
  <c r="Q263" i="13"/>
  <c r="E99" i="15"/>
  <c r="M99" i="15"/>
  <c r="N99" i="15"/>
  <c r="J99" i="15"/>
  <c r="E98" i="15"/>
  <c r="J101" i="15"/>
  <c r="I99" i="15"/>
  <c r="O263" i="13"/>
  <c r="O264" i="13"/>
  <c r="O265" i="13"/>
  <c r="M264" i="13"/>
  <c r="M265" i="13"/>
  <c r="M263" i="13"/>
  <c r="M272" i="13"/>
  <c r="N272" i="13"/>
  <c r="Y92" i="1"/>
  <c r="Y90" i="1"/>
  <c r="Y89" i="1"/>
  <c r="U227" i="13"/>
  <c r="S227" i="13"/>
  <c r="W82" i="1"/>
  <c r="X82" i="1" s="1"/>
  <c r="M85" i="13"/>
  <c r="O85" i="13" s="1"/>
  <c r="N85" i="13"/>
  <c r="S168" i="1"/>
  <c r="S166" i="1"/>
  <c r="S42" i="1"/>
  <c r="S41" i="1"/>
  <c r="S22" i="1"/>
  <c r="P22" i="3" s="1"/>
  <c r="P21" i="3" s="1"/>
  <c r="E24" i="19" s="1"/>
  <c r="G24" i="19" s="1"/>
  <c r="G21" i="19" s="1"/>
  <c r="W19" i="3" s="1"/>
  <c r="W9" i="3" s="1"/>
  <c r="S21" i="1"/>
  <c r="V41" i="1"/>
  <c r="V21" i="1"/>
  <c r="V20" i="1" s="1"/>
  <c r="R22" i="3" s="1"/>
  <c r="V22" i="1"/>
  <c r="V42" i="1"/>
  <c r="V78" i="1"/>
  <c r="V80" i="1"/>
  <c r="V82" i="1"/>
  <c r="V86" i="1"/>
  <c r="V87" i="1"/>
  <c r="V14" i="1"/>
  <c r="V117" i="1"/>
  <c r="R11" i="3" s="1"/>
  <c r="V119" i="1"/>
  <c r="R12" i="3" s="1"/>
  <c r="V141" i="1"/>
  <c r="V163" i="1"/>
  <c r="AA21" i="1"/>
  <c r="AA22" i="1"/>
  <c r="Y21" i="1"/>
  <c r="Y22" i="1"/>
  <c r="Y62" i="1" s="1"/>
  <c r="W21" i="1"/>
  <c r="W22" i="1"/>
  <c r="AA121" i="2"/>
  <c r="Y121" i="2"/>
  <c r="W121" i="2"/>
  <c r="V121" i="2"/>
  <c r="Q11" i="4" s="1"/>
  <c r="S121" i="2"/>
  <c r="AA124" i="2"/>
  <c r="Y124" i="2"/>
  <c r="Y123" i="2" s="1"/>
  <c r="W124" i="2"/>
  <c r="V124" i="2"/>
  <c r="V123" i="2" s="1"/>
  <c r="W123" i="2"/>
  <c r="X123" i="2"/>
  <c r="Z123" i="2"/>
  <c r="AA123" i="2"/>
  <c r="U318" i="14"/>
  <c r="S318" i="14"/>
  <c r="N315" i="14"/>
  <c r="O315" i="14"/>
  <c r="P315" i="14"/>
  <c r="Q315" i="14"/>
  <c r="R315" i="14"/>
  <c r="S315" i="14"/>
  <c r="T315" i="14"/>
  <c r="U315" i="14"/>
  <c r="V315" i="14"/>
  <c r="M315" i="14"/>
  <c r="AA119" i="1"/>
  <c r="Y119" i="1"/>
  <c r="W119" i="1"/>
  <c r="AA117" i="1"/>
  <c r="Y117" i="1"/>
  <c r="X11" i="3" s="1"/>
  <c r="W117" i="1"/>
  <c r="T11" i="3" s="1"/>
  <c r="P317" i="13"/>
  <c r="Q317" i="13"/>
  <c r="R317" i="13"/>
  <c r="S317" i="13"/>
  <c r="T317" i="13"/>
  <c r="U317" i="13"/>
  <c r="V317" i="13"/>
  <c r="U320" i="13"/>
  <c r="S320" i="13"/>
  <c r="AA172" i="1"/>
  <c r="U321" i="13" s="1"/>
  <c r="U319" i="13" s="1"/>
  <c r="AA120" i="1" s="1"/>
  <c r="R319" i="13"/>
  <c r="W172" i="1"/>
  <c r="S321" i="13"/>
  <c r="S319" i="13" s="1"/>
  <c r="Y120" i="1" s="1"/>
  <c r="T319" i="13"/>
  <c r="V319" i="13"/>
  <c r="Q319" i="13"/>
  <c r="O310" i="13"/>
  <c r="Q310" i="13"/>
  <c r="S310" i="13"/>
  <c r="U310" i="13"/>
  <c r="M310" i="13"/>
  <c r="M320" i="13"/>
  <c r="AA10" i="2"/>
  <c r="Y10" i="2"/>
  <c r="S10" i="2"/>
  <c r="U10" i="2"/>
  <c r="P35" i="14"/>
  <c r="U35" i="14"/>
  <c r="U17" i="14"/>
  <c r="U13" i="14"/>
  <c r="S26" i="14"/>
  <c r="U26" i="14"/>
  <c r="U32" i="14"/>
  <c r="S35" i="14"/>
  <c r="S29" i="14"/>
  <c r="S17" i="14"/>
  <c r="S13" i="14"/>
  <c r="Q32" i="14"/>
  <c r="Q17" i="14"/>
  <c r="Q13" i="14"/>
  <c r="Q14" i="14"/>
  <c r="O26" i="14"/>
  <c r="O35" i="14"/>
  <c r="V10" i="2" s="1"/>
  <c r="O13" i="14"/>
  <c r="O32" i="14"/>
  <c r="O17" i="14"/>
  <c r="M35" i="14"/>
  <c r="N61" i="1"/>
  <c r="N62" i="1"/>
  <c r="N60" i="1" s="1"/>
  <c r="O36" i="14"/>
  <c r="P36" i="14"/>
  <c r="Q26" i="14"/>
  <c r="Q36" i="14"/>
  <c r="R36" i="14"/>
  <c r="S32" i="14"/>
  <c r="S36" i="14"/>
  <c r="T36" i="14"/>
  <c r="U36" i="14"/>
  <c r="M36" i="14"/>
  <c r="P37" i="14"/>
  <c r="Q35" i="14"/>
  <c r="W10" i="2" s="1"/>
  <c r="R35" i="14"/>
  <c r="R37" i="14" s="1"/>
  <c r="S37" i="14"/>
  <c r="T37" i="14"/>
  <c r="U37" i="14"/>
  <c r="V37" i="14"/>
  <c r="M37" i="14"/>
  <c r="M32" i="14"/>
  <c r="M23" i="14"/>
  <c r="M17" i="14"/>
  <c r="M13" i="14"/>
  <c r="N35" i="14"/>
  <c r="Y10" i="1"/>
  <c r="W10" i="1"/>
  <c r="U65" i="13"/>
  <c r="S65" i="13"/>
  <c r="Q65" i="13"/>
  <c r="O65" i="13"/>
  <c r="X45" i="13"/>
  <c r="O34" i="13"/>
  <c r="O37" i="13"/>
  <c r="O31" i="13"/>
  <c r="M31" i="13"/>
  <c r="AA177" i="2"/>
  <c r="Y177" i="2"/>
  <c r="W177" i="2"/>
  <c r="V177" i="2"/>
  <c r="V176" i="2" s="1"/>
  <c r="Q27" i="4" s="1"/>
  <c r="S177" i="2"/>
  <c r="T176" i="2"/>
  <c r="U177" i="2"/>
  <c r="U176" i="2"/>
  <c r="W176" i="2"/>
  <c r="X176" i="2"/>
  <c r="Y176" i="2"/>
  <c r="AA176" i="2"/>
  <c r="AA329" i="2" s="1"/>
  <c r="AB176" i="2"/>
  <c r="AC176" i="2"/>
  <c r="AD176" i="2"/>
  <c r="Y172" i="1"/>
  <c r="X28" i="3" s="1"/>
  <c r="Y171" i="1"/>
  <c r="AA171" i="1"/>
  <c r="Z28" i="3" s="1"/>
  <c r="AB171" i="1"/>
  <c r="W171" i="1"/>
  <c r="T28" i="3" s="1"/>
  <c r="T172" i="1"/>
  <c r="U343" i="14"/>
  <c r="U339" i="14"/>
  <c r="Q361" i="14"/>
  <c r="Q358" i="14"/>
  <c r="U341" i="14"/>
  <c r="U342" i="14"/>
  <c r="S343" i="14"/>
  <c r="S361" i="14"/>
  <c r="S340" i="14"/>
  <c r="S358" i="14"/>
  <c r="U340" i="14"/>
  <c r="S341" i="14"/>
  <c r="S342" i="14"/>
  <c r="S344" i="14"/>
  <c r="O393" i="14"/>
  <c r="M393" i="14"/>
  <c r="O391" i="14"/>
  <c r="O365" i="14"/>
  <c r="O366" i="14"/>
  <c r="O367" i="14"/>
  <c r="U359" i="14"/>
  <c r="U365" i="14"/>
  <c r="U360" i="14"/>
  <c r="U366" i="14"/>
  <c r="U361" i="14"/>
  <c r="U367" i="14"/>
  <c r="U368" i="14"/>
  <c r="S359" i="14"/>
  <c r="S365" i="14"/>
  <c r="S360" i="14"/>
  <c r="S366" i="14"/>
  <c r="S367" i="14"/>
  <c r="U358" i="14"/>
  <c r="U364" i="14"/>
  <c r="S364" i="14"/>
  <c r="Q359" i="14"/>
  <c r="Q365" i="14"/>
  <c r="Q360" i="14"/>
  <c r="Q366" i="14"/>
  <c r="Q367" i="14"/>
  <c r="Q364" i="14"/>
  <c r="O364" i="14"/>
  <c r="O361" i="14"/>
  <c r="O343" i="14"/>
  <c r="O342" i="14"/>
  <c r="O341" i="14"/>
  <c r="O340" i="14"/>
  <c r="U390" i="14"/>
  <c r="S390" i="14"/>
  <c r="Q390" i="14"/>
  <c r="O390" i="14"/>
  <c r="L393" i="13"/>
  <c r="J390" i="14"/>
  <c r="J394" i="14"/>
  <c r="J393" i="14"/>
  <c r="L375" i="14"/>
  <c r="L387" i="14"/>
  <c r="L393" i="14"/>
  <c r="M375" i="14"/>
  <c r="M387" i="14"/>
  <c r="N375" i="14"/>
  <c r="N387" i="14"/>
  <c r="N390" i="14"/>
  <c r="N393" i="14"/>
  <c r="O375" i="14"/>
  <c r="O387" i="14"/>
  <c r="P375" i="14"/>
  <c r="P387" i="14"/>
  <c r="P390" i="14"/>
  <c r="P393" i="14"/>
  <c r="Q375" i="14"/>
  <c r="Q387" i="14"/>
  <c r="Q393" i="14"/>
  <c r="R375" i="14"/>
  <c r="R387" i="14"/>
  <c r="R390" i="14"/>
  <c r="R393" i="14"/>
  <c r="S375" i="14"/>
  <c r="S387" i="14"/>
  <c r="S393" i="14"/>
  <c r="T375" i="14"/>
  <c r="T387" i="14"/>
  <c r="T390" i="14"/>
  <c r="T393" i="14"/>
  <c r="U375" i="14"/>
  <c r="U387" i="14"/>
  <c r="U393" i="14"/>
  <c r="V375" i="14"/>
  <c r="V387" i="14"/>
  <c r="V393" i="14"/>
  <c r="M358" i="14"/>
  <c r="Q389" i="13"/>
  <c r="U389" i="13"/>
  <c r="U391" i="13"/>
  <c r="U367" i="13"/>
  <c r="U368" i="13"/>
  <c r="U369" i="13"/>
  <c r="U370" i="13"/>
  <c r="U366" i="13"/>
  <c r="U364" i="13"/>
  <c r="S370" i="13"/>
  <c r="S367" i="13"/>
  <c r="S368" i="13"/>
  <c r="S369" i="13"/>
  <c r="S360" i="13"/>
  <c r="S366" i="13"/>
  <c r="S361" i="13"/>
  <c r="S362" i="13"/>
  <c r="S363" i="13"/>
  <c r="S364" i="13"/>
  <c r="Q367" i="13"/>
  <c r="Q368" i="13"/>
  <c r="Q369" i="13"/>
  <c r="Q370" i="13"/>
  <c r="Q366" i="13"/>
  <c r="M16" i="13"/>
  <c r="M19" i="13"/>
  <c r="M22" i="13"/>
  <c r="M25" i="13"/>
  <c r="M34" i="13"/>
  <c r="M37" i="13"/>
  <c r="M46" i="13"/>
  <c r="M88" i="13"/>
  <c r="M13" i="13"/>
  <c r="M28" i="13"/>
  <c r="M40" i="13"/>
  <c r="M43" i="13"/>
  <c r="M49" i="13"/>
  <c r="M52" i="13"/>
  <c r="M55" i="13"/>
  <c r="M65" i="13"/>
  <c r="Q25" i="13"/>
  <c r="Q47" i="13"/>
  <c r="S47" i="13"/>
  <c r="U47" i="13"/>
  <c r="S48" i="13"/>
  <c r="U48" i="13"/>
  <c r="N65" i="13"/>
  <c r="S193" i="2"/>
  <c r="O445" i="14"/>
  <c r="Q445" i="14" s="1"/>
  <c r="S445" i="14" s="1"/>
  <c r="U445" i="14" s="1"/>
  <c r="V192" i="2"/>
  <c r="O444" i="14"/>
  <c r="Q444" i="14" s="1"/>
  <c r="U190" i="2"/>
  <c r="V190" i="2" s="1"/>
  <c r="O440" i="14" s="1"/>
  <c r="H7" i="20"/>
  <c r="H8" i="20"/>
  <c r="K4" i="20"/>
  <c r="M4" i="20"/>
  <c r="V189" i="2"/>
  <c r="O439" i="14" s="1"/>
  <c r="O40" i="14"/>
  <c r="M41" i="14"/>
  <c r="O41" i="14"/>
  <c r="O39" i="14"/>
  <c r="O43" i="14"/>
  <c r="M44" i="14"/>
  <c r="O44" i="14"/>
  <c r="O42" i="14"/>
  <c r="O49" i="14"/>
  <c r="V13" i="2"/>
  <c r="O146" i="14"/>
  <c r="O149" i="14"/>
  <c r="O150" i="14"/>
  <c r="O181" i="14"/>
  <c r="O183" i="14"/>
  <c r="O185" i="14"/>
  <c r="M187" i="14"/>
  <c r="O187" i="14"/>
  <c r="M188" i="14"/>
  <c r="O188" i="14"/>
  <c r="O189" i="14"/>
  <c r="O190" i="14"/>
  <c r="V103" i="2"/>
  <c r="V91" i="2"/>
  <c r="E56" i="15"/>
  <c r="F56" i="15"/>
  <c r="G56" i="15"/>
  <c r="H56" i="15"/>
  <c r="I56" i="15"/>
  <c r="I62" i="15"/>
  <c r="D57" i="15"/>
  <c r="E57" i="15"/>
  <c r="F57" i="15"/>
  <c r="G57" i="15"/>
  <c r="H57" i="15"/>
  <c r="I57" i="15"/>
  <c r="I63" i="15"/>
  <c r="I58" i="15"/>
  <c r="I64" i="15"/>
  <c r="I65" i="15"/>
  <c r="I66" i="15"/>
  <c r="J56" i="15"/>
  <c r="J62" i="15"/>
  <c r="J57" i="15"/>
  <c r="J63" i="15"/>
  <c r="J64" i="15"/>
  <c r="J65" i="15"/>
  <c r="J66" i="15"/>
  <c r="K56" i="15"/>
  <c r="K55" i="15"/>
  <c r="K62" i="15"/>
  <c r="K57" i="15"/>
  <c r="K63" i="15"/>
  <c r="K64" i="15"/>
  <c r="K65" i="15"/>
  <c r="K66" i="15"/>
  <c r="L56" i="15"/>
  <c r="L55" i="15"/>
  <c r="L62" i="15"/>
  <c r="L57" i="15"/>
  <c r="L63" i="15"/>
  <c r="L58" i="15"/>
  <c r="L64" i="15"/>
  <c r="L65" i="15"/>
  <c r="L66" i="15"/>
  <c r="J104" i="15"/>
  <c r="G100" i="15"/>
  <c r="J100" i="15"/>
  <c r="V104" i="2"/>
  <c r="Q26" i="4" s="1"/>
  <c r="V137" i="2"/>
  <c r="V125" i="2" s="1"/>
  <c r="S140" i="2"/>
  <c r="V140" i="2"/>
  <c r="V141" i="2"/>
  <c r="V142" i="2"/>
  <c r="W142" i="2" s="1"/>
  <c r="Y142" i="2" s="1"/>
  <c r="AA142" i="2" s="1"/>
  <c r="V143" i="2"/>
  <c r="V144" i="2"/>
  <c r="W144" i="2" s="1"/>
  <c r="Y144" i="2" s="1"/>
  <c r="AA144" i="2" s="1"/>
  <c r="S145" i="2"/>
  <c r="V145" i="2"/>
  <c r="W145" i="2" s="1"/>
  <c r="Y145" i="2" s="1"/>
  <c r="AA145" i="2" s="1"/>
  <c r="S146" i="2"/>
  <c r="V146" i="2"/>
  <c r="W146" i="2" s="1"/>
  <c r="S147" i="2"/>
  <c r="V147" i="2"/>
  <c r="W147" i="2" s="1"/>
  <c r="Y147" i="2" s="1"/>
  <c r="AA147" i="2" s="1"/>
  <c r="S151" i="2"/>
  <c r="V151" i="2" s="1"/>
  <c r="V149" i="2"/>
  <c r="V160" i="2" s="1"/>
  <c r="V161" i="2"/>
  <c r="S162" i="2"/>
  <c r="V162" i="2" s="1"/>
  <c r="S163" i="2"/>
  <c r="V163" i="2" s="1"/>
  <c r="S164" i="2"/>
  <c r="V164" i="2" s="1"/>
  <c r="W164" i="2" s="1"/>
  <c r="S165" i="2"/>
  <c r="V165" i="2" s="1"/>
  <c r="W165" i="2" s="1"/>
  <c r="Y165" i="2" s="1"/>
  <c r="AA165" i="2" s="1"/>
  <c r="S166" i="2"/>
  <c r="V166" i="2" s="1"/>
  <c r="S167" i="2"/>
  <c r="V167" i="2" s="1"/>
  <c r="W167" i="2" s="1"/>
  <c r="Y167" i="2" s="1"/>
  <c r="AA167" i="2" s="1"/>
  <c r="S168" i="2"/>
  <c r="V168" i="2" s="1"/>
  <c r="W168" i="2" s="1"/>
  <c r="S169" i="2"/>
  <c r="V169" i="2" s="1"/>
  <c r="W169" i="2" s="1"/>
  <c r="Y169" i="2" s="1"/>
  <c r="AA169" i="2" s="1"/>
  <c r="V170" i="2"/>
  <c r="W170" i="2" s="1"/>
  <c r="V175" i="2"/>
  <c r="V174" i="2" s="1"/>
  <c r="V191" i="2"/>
  <c r="S195" i="2"/>
  <c r="V195" i="2"/>
  <c r="W195" i="2" s="1"/>
  <c r="Y195" i="2" s="1"/>
  <c r="AA195" i="2" s="1"/>
  <c r="M445" i="14"/>
  <c r="M444" i="14"/>
  <c r="M440" i="14"/>
  <c r="M439" i="14"/>
  <c r="N4" i="20"/>
  <c r="O4" i="20"/>
  <c r="P4" i="20"/>
  <c r="AA189" i="2"/>
  <c r="Y189" i="2"/>
  <c r="AC19" i="4" s="1"/>
  <c r="AH19" i="4" s="1"/>
  <c r="W189" i="2"/>
  <c r="Q436" i="13"/>
  <c r="U188" i="2"/>
  <c r="P447" i="14"/>
  <c r="U193" i="2"/>
  <c r="P446" i="14"/>
  <c r="U192" i="2"/>
  <c r="P444" i="14"/>
  <c r="U189" i="2"/>
  <c r="P439" i="14"/>
  <c r="N445" i="14"/>
  <c r="N444" i="14"/>
  <c r="N447" i="14"/>
  <c r="N440" i="14"/>
  <c r="N439" i="14"/>
  <c r="X101" i="1"/>
  <c r="X144" i="1"/>
  <c r="U170" i="1"/>
  <c r="X170" i="1"/>
  <c r="X169" i="1"/>
  <c r="U183" i="1"/>
  <c r="U184" i="1"/>
  <c r="U185" i="1"/>
  <c r="U186" i="1"/>
  <c r="U187" i="1"/>
  <c r="P436" i="13" s="1"/>
  <c r="U188" i="1"/>
  <c r="P438" i="13"/>
  <c r="N443" i="13"/>
  <c r="P443" i="13"/>
  <c r="P434" i="13"/>
  <c r="P445" i="13"/>
  <c r="N434" i="13"/>
  <c r="N445" i="13"/>
  <c r="N442" i="13" s="1"/>
  <c r="N431" i="13"/>
  <c r="N432" i="13"/>
  <c r="N433" i="13"/>
  <c r="N436" i="13"/>
  <c r="N438" i="13"/>
  <c r="N437" i="13" s="1"/>
  <c r="N447" i="13" s="1"/>
  <c r="P432" i="13"/>
  <c r="T432" i="13"/>
  <c r="V432" i="13"/>
  <c r="AB184" i="1"/>
  <c r="T431" i="13" s="1"/>
  <c r="V431" i="13" s="1"/>
  <c r="P431" i="13"/>
  <c r="Q443" i="13"/>
  <c r="S443" i="13"/>
  <c r="U443" i="13"/>
  <c r="M437" i="13"/>
  <c r="O437" i="13"/>
  <c r="Q437" i="13" s="1"/>
  <c r="S437" i="13" s="1"/>
  <c r="U437" i="13" s="1"/>
  <c r="S436" i="13"/>
  <c r="U436" i="13"/>
  <c r="O434" i="13"/>
  <c r="Q434" i="13"/>
  <c r="S434" i="13"/>
  <c r="U434" i="13"/>
  <c r="O432" i="13"/>
  <c r="Q432" i="13"/>
  <c r="S432" i="13"/>
  <c r="U432" i="13"/>
  <c r="K3" i="20"/>
  <c r="M3" i="20"/>
  <c r="N3" i="20"/>
  <c r="O3" i="20"/>
  <c r="P3" i="20"/>
  <c r="U431" i="13"/>
  <c r="S431" i="13"/>
  <c r="Q431" i="13"/>
  <c r="O431" i="13"/>
  <c r="N427" i="13"/>
  <c r="O346" i="13"/>
  <c r="AA184" i="1"/>
  <c r="Y184" i="1"/>
  <c r="W184" i="1"/>
  <c r="V184" i="1"/>
  <c r="K5" i="20"/>
  <c r="M5" i="20"/>
  <c r="N5" i="20"/>
  <c r="O5" i="20"/>
  <c r="P5" i="20"/>
  <c r="K6" i="20"/>
  <c r="M6" i="20"/>
  <c r="N6" i="20"/>
  <c r="O6" i="20"/>
  <c r="P6" i="20"/>
  <c r="K7" i="20"/>
  <c r="M7" i="20"/>
  <c r="N7" i="20"/>
  <c r="O7" i="20"/>
  <c r="P7" i="20"/>
  <c r="V186" i="1"/>
  <c r="W186" i="1"/>
  <c r="P389" i="13"/>
  <c r="M359" i="13"/>
  <c r="N389" i="13"/>
  <c r="O391" i="13"/>
  <c r="Q391" i="13"/>
  <c r="S391" i="13"/>
  <c r="M377" i="13"/>
  <c r="T174" i="2"/>
  <c r="Q175" i="2"/>
  <c r="W175" i="2"/>
  <c r="AC17" i="4" s="1"/>
  <c r="Y175" i="2"/>
  <c r="Y174" i="2" s="1"/>
  <c r="AA175" i="2"/>
  <c r="AA174" i="2" s="1"/>
  <c r="S175" i="2"/>
  <c r="S174" i="2" s="1"/>
  <c r="S186" i="1"/>
  <c r="M171" i="13"/>
  <c r="M174" i="13"/>
  <c r="M175" i="13"/>
  <c r="M206" i="13"/>
  <c r="M210" i="13"/>
  <c r="M214" i="13"/>
  <c r="M215" i="13"/>
  <c r="M229" i="13"/>
  <c r="J3" i="16"/>
  <c r="R184" i="1"/>
  <c r="K8" i="10"/>
  <c r="N185" i="1"/>
  <c r="R185" i="1" s="1"/>
  <c r="R182" i="1" s="1"/>
  <c r="N186" i="1"/>
  <c r="R186" i="1"/>
  <c r="R187" i="1"/>
  <c r="R188" i="1"/>
  <c r="S110" i="1"/>
  <c r="S170" i="1"/>
  <c r="V170" i="1" s="1"/>
  <c r="Q174" i="2"/>
  <c r="S122" i="1"/>
  <c r="S133" i="1"/>
  <c r="S121" i="1"/>
  <c r="AP6" i="5"/>
  <c r="AP15" i="5"/>
  <c r="AP46" i="5"/>
  <c r="AP47" i="5"/>
  <c r="AP51" i="5"/>
  <c r="AO61" i="5"/>
  <c r="AO14" i="5"/>
  <c r="AO6" i="5"/>
  <c r="AO35" i="5"/>
  <c r="AO15" i="5"/>
  <c r="AO46" i="5"/>
  <c r="AM6" i="5"/>
  <c r="AM15" i="5"/>
  <c r="AM51" i="5"/>
  <c r="AK61" i="5"/>
  <c r="AL6" i="5"/>
  <c r="AL15" i="5"/>
  <c r="AL46" i="5"/>
  <c r="AJ49" i="5"/>
  <c r="AJ19" i="5"/>
  <c r="AI7" i="5"/>
  <c r="AH9" i="5"/>
  <c r="AI9" i="5"/>
  <c r="AH11" i="5"/>
  <c r="AI11" i="5"/>
  <c r="AI6" i="5"/>
  <c r="AI35" i="5"/>
  <c r="AI15" i="5"/>
  <c r="AI47" i="5"/>
  <c r="AI51" i="5"/>
  <c r="AI60" i="5"/>
  <c r="AS9" i="5"/>
  <c r="AS11" i="5"/>
  <c r="AS6" i="5"/>
  <c r="AS35" i="5"/>
  <c r="AS15" i="5"/>
  <c r="AS49" i="5"/>
  <c r="AS51" i="5"/>
  <c r="AR61" i="5"/>
  <c r="AR9" i="5"/>
  <c r="AR11" i="5"/>
  <c r="AR6" i="5"/>
  <c r="AR35" i="5"/>
  <c r="AR15" i="5"/>
  <c r="AR38" i="5"/>
  <c r="AR46" i="5"/>
  <c r="BB19" i="5"/>
  <c r="AY46" i="5"/>
  <c r="AY35" i="5"/>
  <c r="AY19" i="5"/>
  <c r="AV46" i="5"/>
  <c r="AV19" i="5"/>
  <c r="AS19" i="5"/>
  <c r="AS17" i="5"/>
  <c r="AP19" i="5"/>
  <c r="AM19" i="5"/>
  <c r="T156" i="1"/>
  <c r="T147" i="1"/>
  <c r="AA171" i="2"/>
  <c r="AA172" i="2"/>
  <c r="W141" i="2"/>
  <c r="Y141" i="2" s="1"/>
  <c r="AA141" i="2" s="1"/>
  <c r="W143" i="2"/>
  <c r="Y143" i="2"/>
  <c r="AA143" i="2" s="1"/>
  <c r="W161" i="2"/>
  <c r="V171" i="2"/>
  <c r="V172" i="2"/>
  <c r="U147" i="2"/>
  <c r="AX40" i="5"/>
  <c r="BA40" i="5"/>
  <c r="AX41" i="5"/>
  <c r="BA41" i="5"/>
  <c r="AX42" i="5"/>
  <c r="BA42" i="5"/>
  <c r="AX43" i="5"/>
  <c r="BA43" i="5"/>
  <c r="AX44" i="5"/>
  <c r="BA44" i="5"/>
  <c r="AX45" i="5"/>
  <c r="BA45" i="5"/>
  <c r="AU46" i="5"/>
  <c r="AX46" i="5"/>
  <c r="BA46" i="5"/>
  <c r="AX39" i="5"/>
  <c r="BA39" i="5"/>
  <c r="AX37" i="5"/>
  <c r="AX19" i="5"/>
  <c r="AU35" i="5"/>
  <c r="V147" i="1"/>
  <c r="W147" i="1"/>
  <c r="W146" i="1"/>
  <c r="W145" i="1"/>
  <c r="W156" i="1"/>
  <c r="W144" i="1"/>
  <c r="AU19" i="5"/>
  <c r="AU17" i="5"/>
  <c r="AJ68" i="5"/>
  <c r="AJ67" i="5"/>
  <c r="AR19" i="5"/>
  <c r="AO19" i="5"/>
  <c r="AL19" i="5"/>
  <c r="AN6" i="5"/>
  <c r="AN51" i="5"/>
  <c r="AU2" i="5"/>
  <c r="AK15" i="5"/>
  <c r="AK6" i="5"/>
  <c r="AK51" i="5"/>
  <c r="U146" i="14"/>
  <c r="U149" i="14"/>
  <c r="U150" i="14"/>
  <c r="AA77" i="2"/>
  <c r="S146" i="14"/>
  <c r="S149" i="14"/>
  <c r="S150" i="14"/>
  <c r="Y77" i="2"/>
  <c r="Q146" i="14"/>
  <c r="Q149" i="14"/>
  <c r="Q150" i="14"/>
  <c r="M146" i="14"/>
  <c r="M149" i="14"/>
  <c r="M150" i="14"/>
  <c r="S77" i="2"/>
  <c r="O212" i="13"/>
  <c r="O213" i="13"/>
  <c r="O214" i="13"/>
  <c r="O68" i="13"/>
  <c r="M69" i="13"/>
  <c r="O69" i="13"/>
  <c r="O67" i="13"/>
  <c r="O71" i="13"/>
  <c r="M72" i="13"/>
  <c r="O72" i="13"/>
  <c r="O70" i="13"/>
  <c r="O74" i="13"/>
  <c r="O75" i="13"/>
  <c r="O73" i="13"/>
  <c r="O76" i="13"/>
  <c r="O217" i="13"/>
  <c r="Q212" i="13"/>
  <c r="Q213" i="13"/>
  <c r="Q214" i="13"/>
  <c r="Q68" i="13"/>
  <c r="Q69" i="13"/>
  <c r="Q67" i="13"/>
  <c r="Q71" i="13"/>
  <c r="Q72" i="13"/>
  <c r="Q70" i="13"/>
  <c r="Q74" i="13"/>
  <c r="Q75" i="13"/>
  <c r="Q73" i="13"/>
  <c r="Q76" i="13"/>
  <c r="Q217" i="13"/>
  <c r="R214" i="13"/>
  <c r="R67" i="13"/>
  <c r="R70" i="13"/>
  <c r="R73" i="13"/>
  <c r="R76" i="13"/>
  <c r="R217" i="13"/>
  <c r="S212" i="13"/>
  <c r="S213" i="13"/>
  <c r="S214" i="13"/>
  <c r="S68" i="13"/>
  <c r="S69" i="13"/>
  <c r="S67" i="13"/>
  <c r="S71" i="13"/>
  <c r="S72" i="13"/>
  <c r="S70" i="13"/>
  <c r="S74" i="13"/>
  <c r="S75" i="13"/>
  <c r="S73" i="13"/>
  <c r="S76" i="13"/>
  <c r="S217" i="13"/>
  <c r="T214" i="13"/>
  <c r="T67" i="13"/>
  <c r="T70" i="13"/>
  <c r="T73" i="13"/>
  <c r="T76" i="13"/>
  <c r="T217" i="13"/>
  <c r="U212" i="13"/>
  <c r="U199" i="13"/>
  <c r="U213" i="13"/>
  <c r="U214" i="13"/>
  <c r="U68" i="13"/>
  <c r="U69" i="13"/>
  <c r="U67" i="13"/>
  <c r="U71" i="13"/>
  <c r="U72" i="13"/>
  <c r="U70" i="13"/>
  <c r="U74" i="13"/>
  <c r="U75" i="13"/>
  <c r="U73" i="13"/>
  <c r="U76" i="13"/>
  <c r="U217" i="13"/>
  <c r="V214" i="13"/>
  <c r="V67" i="13"/>
  <c r="V70" i="13"/>
  <c r="V73" i="13"/>
  <c r="V76" i="13"/>
  <c r="V217" i="13"/>
  <c r="Q180" i="14"/>
  <c r="S180" i="14"/>
  <c r="S181" i="14"/>
  <c r="Q183" i="14"/>
  <c r="S183" i="14"/>
  <c r="S185" i="14"/>
  <c r="Q187" i="14"/>
  <c r="S187" i="14"/>
  <c r="Q188" i="14"/>
  <c r="S188" i="14"/>
  <c r="S189" i="14"/>
  <c r="S190" i="14"/>
  <c r="Y79" i="2"/>
  <c r="Q181" i="14"/>
  <c r="Q185" i="14"/>
  <c r="Q189" i="14"/>
  <c r="Q190" i="14"/>
  <c r="M181" i="14"/>
  <c r="M183" i="14"/>
  <c r="M185" i="14"/>
  <c r="M189" i="14"/>
  <c r="M190" i="14"/>
  <c r="S79" i="2"/>
  <c r="N190" i="14"/>
  <c r="B19" i="12"/>
  <c r="AA56" i="2"/>
  <c r="AA22" i="2"/>
  <c r="Y56" i="2"/>
  <c r="Y22" i="2"/>
  <c r="AA55" i="2"/>
  <c r="AA57" i="2"/>
  <c r="AA54" i="2"/>
  <c r="Y55" i="2"/>
  <c r="Y57" i="2"/>
  <c r="Y54" i="2"/>
  <c r="AA21" i="2"/>
  <c r="AA23" i="2"/>
  <c r="AA63" i="2" s="1"/>
  <c r="AA20" i="2"/>
  <c r="Y21" i="2"/>
  <c r="Y61" i="2" s="1"/>
  <c r="Y23" i="2"/>
  <c r="Y20" i="2"/>
  <c r="Y60" i="2" s="1"/>
  <c r="Q115" i="14"/>
  <c r="Q116" i="14"/>
  <c r="U116" i="14"/>
  <c r="S115" i="14"/>
  <c r="S73" i="14"/>
  <c r="O116" i="14"/>
  <c r="U56" i="2"/>
  <c r="U62" i="2" s="1"/>
  <c r="M115" i="14"/>
  <c r="M68" i="14"/>
  <c r="AA42" i="1"/>
  <c r="AA41" i="1"/>
  <c r="AA61" i="1" s="1"/>
  <c r="Y42" i="1"/>
  <c r="Y41" i="1"/>
  <c r="Y61" i="1" s="1"/>
  <c r="W42" i="1"/>
  <c r="W41" i="1"/>
  <c r="Q102" i="13"/>
  <c r="W62" i="1"/>
  <c r="S101" i="13"/>
  <c r="U101" i="13"/>
  <c r="U142" i="13"/>
  <c r="S142" i="13"/>
  <c r="Q142" i="13"/>
  <c r="O229" i="13"/>
  <c r="N233" i="13"/>
  <c r="Q85" i="1"/>
  <c r="AA87" i="1"/>
  <c r="Y87" i="1"/>
  <c r="W87" i="1"/>
  <c r="X87" i="1" s="1"/>
  <c r="AA86" i="1"/>
  <c r="AA85" i="1" s="1"/>
  <c r="Y86" i="1"/>
  <c r="W86" i="1"/>
  <c r="X86" i="1" s="1"/>
  <c r="X85" i="1" s="1"/>
  <c r="Z85" i="1" s="1"/>
  <c r="U233" i="13"/>
  <c r="S233" i="13"/>
  <c r="AA84" i="1"/>
  <c r="Y84" i="1"/>
  <c r="W84" i="1"/>
  <c r="V84" i="1"/>
  <c r="AA83" i="1"/>
  <c r="Y83" i="1"/>
  <c r="W83" i="1"/>
  <c r="V83" i="1"/>
  <c r="Q229" i="13"/>
  <c r="N229" i="13"/>
  <c r="N234" i="13"/>
  <c r="P229" i="13"/>
  <c r="P233" i="13"/>
  <c r="P234" i="13"/>
  <c r="R229" i="13"/>
  <c r="R233" i="13"/>
  <c r="R234" i="13"/>
  <c r="T229" i="13"/>
  <c r="T233" i="13"/>
  <c r="T234" i="13"/>
  <c r="V229" i="13"/>
  <c r="V233" i="13"/>
  <c r="V234" i="13"/>
  <c r="M233" i="13"/>
  <c r="M234" i="13"/>
  <c r="S84" i="1"/>
  <c r="S83" i="1"/>
  <c r="Q82" i="1"/>
  <c r="U170" i="13"/>
  <c r="U171" i="13"/>
  <c r="U174" i="13"/>
  <c r="U175" i="13"/>
  <c r="AA78" i="1"/>
  <c r="S170" i="13"/>
  <c r="S171" i="13"/>
  <c r="S174" i="13"/>
  <c r="S175" i="13"/>
  <c r="Y78" i="1"/>
  <c r="Q171" i="13"/>
  <c r="Q174" i="13"/>
  <c r="Q175" i="13"/>
  <c r="W78" i="1"/>
  <c r="O170" i="13"/>
  <c r="O171" i="13"/>
  <c r="O174" i="13"/>
  <c r="O175" i="13"/>
  <c r="M166" i="13"/>
  <c r="M183" i="13"/>
  <c r="M200" i="13"/>
  <c r="M223" i="13"/>
  <c r="M238" i="13"/>
  <c r="M260" i="13"/>
  <c r="M277" i="13"/>
  <c r="M306" i="13"/>
  <c r="M399" i="13"/>
  <c r="M428" i="13"/>
  <c r="M450" i="13"/>
  <c r="M338" i="13"/>
  <c r="M73" i="13"/>
  <c r="U180" i="14"/>
  <c r="O173" i="14"/>
  <c r="S206" i="13"/>
  <c r="U206" i="13"/>
  <c r="Q199" i="13"/>
  <c r="U183" i="14"/>
  <c r="U185" i="14"/>
  <c r="N210" i="13"/>
  <c r="O210" i="13"/>
  <c r="P210" i="13"/>
  <c r="Q210" i="13"/>
  <c r="R210" i="13"/>
  <c r="T210" i="13"/>
  <c r="V210" i="13"/>
  <c r="Q206" i="13"/>
  <c r="P205" i="13"/>
  <c r="U210" i="13"/>
  <c r="S210" i="13"/>
  <c r="P114" i="14"/>
  <c r="P98" i="14"/>
  <c r="P100" i="14"/>
  <c r="M80" i="14"/>
  <c r="N80" i="14"/>
  <c r="N101" i="14"/>
  <c r="P101" i="14"/>
  <c r="P102" i="14"/>
  <c r="P103" i="14"/>
  <c r="P104" i="14"/>
  <c r="P105" i="14"/>
  <c r="P106" i="14"/>
  <c r="M86" i="14"/>
  <c r="N86" i="14"/>
  <c r="N107" i="14"/>
  <c r="P107" i="14"/>
  <c r="P108" i="14"/>
  <c r="P109" i="14"/>
  <c r="P110" i="14"/>
  <c r="Q137" i="14"/>
  <c r="N74" i="14"/>
  <c r="N114" i="14"/>
  <c r="N75" i="14"/>
  <c r="N76" i="14"/>
  <c r="N77" i="14"/>
  <c r="N96" i="14"/>
  <c r="N78" i="14"/>
  <c r="N79" i="14"/>
  <c r="N81" i="14"/>
  <c r="N82" i="14"/>
  <c r="N83" i="14"/>
  <c r="N84" i="14"/>
  <c r="N85" i="14"/>
  <c r="N87" i="14"/>
  <c r="N88" i="14"/>
  <c r="N89" i="14"/>
  <c r="N90" i="14"/>
  <c r="M141" i="13"/>
  <c r="M100" i="13"/>
  <c r="P102" i="13"/>
  <c r="P101" i="13"/>
  <c r="P122" i="13"/>
  <c r="P121" i="13"/>
  <c r="P141" i="13"/>
  <c r="O141" i="13"/>
  <c r="P142" i="13"/>
  <c r="P100" i="13"/>
  <c r="U160" i="2"/>
  <c r="U119" i="2"/>
  <c r="U150" i="2"/>
  <c r="U149" i="2" s="1"/>
  <c r="M56" i="15"/>
  <c r="M62" i="15"/>
  <c r="M57" i="15"/>
  <c r="M63" i="15"/>
  <c r="M58" i="15"/>
  <c r="M64" i="15"/>
  <c r="M65" i="15"/>
  <c r="M66" i="15"/>
  <c r="N56" i="15"/>
  <c r="N62" i="15"/>
  <c r="N57" i="15"/>
  <c r="N63" i="15"/>
  <c r="N58" i="15"/>
  <c r="N64" i="15"/>
  <c r="N65" i="15"/>
  <c r="N66" i="15"/>
  <c r="O56" i="15"/>
  <c r="O62" i="15"/>
  <c r="O57" i="15"/>
  <c r="O63" i="15"/>
  <c r="O64" i="15"/>
  <c r="O65" i="15"/>
  <c r="O66" i="15"/>
  <c r="P56" i="15"/>
  <c r="P55" i="15"/>
  <c r="P62" i="15"/>
  <c r="P57" i="15"/>
  <c r="P63" i="15"/>
  <c r="P64" i="15"/>
  <c r="P65" i="15"/>
  <c r="P66" i="15"/>
  <c r="N104" i="15"/>
  <c r="N100" i="15"/>
  <c r="W104" i="2"/>
  <c r="AC16" i="4" s="1"/>
  <c r="AH16" i="4" s="1"/>
  <c r="N76" i="13"/>
  <c r="N217" i="13" s="1"/>
  <c r="N214" i="13"/>
  <c r="Q40" i="14"/>
  <c r="S40" i="14"/>
  <c r="U40" i="14"/>
  <c r="Q41" i="14"/>
  <c r="S41" i="14"/>
  <c r="U41" i="14"/>
  <c r="U39" i="14"/>
  <c r="Q43" i="14"/>
  <c r="S43" i="14"/>
  <c r="U43" i="14"/>
  <c r="S44" i="14"/>
  <c r="U44" i="14"/>
  <c r="U42" i="14"/>
  <c r="U49" i="14"/>
  <c r="AA13" i="2"/>
  <c r="S39" i="14"/>
  <c r="S42" i="14"/>
  <c r="S49" i="14"/>
  <c r="Y13" i="2"/>
  <c r="Q39" i="14"/>
  <c r="Q44" i="14"/>
  <c r="Q42" i="14"/>
  <c r="Q49" i="14"/>
  <c r="W13" i="2"/>
  <c r="N49" i="14"/>
  <c r="M39" i="14"/>
  <c r="M42" i="14"/>
  <c r="M47" i="14"/>
  <c r="M45" i="14"/>
  <c r="M49" i="14"/>
  <c r="S13" i="2"/>
  <c r="Q56" i="15"/>
  <c r="Q62" i="15"/>
  <c r="Q57" i="15"/>
  <c r="Q63" i="15"/>
  <c r="Q64" i="15"/>
  <c r="Q65" i="15"/>
  <c r="Q66" i="15"/>
  <c r="R56" i="15"/>
  <c r="R62" i="15"/>
  <c r="R57" i="15"/>
  <c r="R63" i="15"/>
  <c r="R64" i="15"/>
  <c r="R59" i="15"/>
  <c r="R65" i="15"/>
  <c r="R66" i="15"/>
  <c r="S56" i="15"/>
  <c r="S62" i="15"/>
  <c r="S57" i="15"/>
  <c r="S63" i="15"/>
  <c r="S64" i="15"/>
  <c r="S59" i="15"/>
  <c r="S65" i="15"/>
  <c r="S66" i="15"/>
  <c r="T56" i="15"/>
  <c r="T55" i="15"/>
  <c r="T62" i="15"/>
  <c r="T57" i="15"/>
  <c r="T63" i="15"/>
  <c r="T64" i="15"/>
  <c r="T35" i="15"/>
  <c r="T59" i="15"/>
  <c r="T65" i="15"/>
  <c r="T66" i="15"/>
  <c r="R104" i="15"/>
  <c r="J41" i="15"/>
  <c r="K41" i="15"/>
  <c r="L41" i="15"/>
  <c r="M41" i="15"/>
  <c r="N41" i="15"/>
  <c r="O41" i="15"/>
  <c r="P41" i="15"/>
  <c r="Q41" i="15"/>
  <c r="R41" i="15"/>
  <c r="S41" i="15"/>
  <c r="T41" i="15"/>
  <c r="U35" i="15"/>
  <c r="U59" i="15"/>
  <c r="U65" i="15"/>
  <c r="U41" i="15"/>
  <c r="V59" i="15"/>
  <c r="U56" i="15"/>
  <c r="V56" i="15"/>
  <c r="V65" i="15"/>
  <c r="V41" i="15"/>
  <c r="W59" i="15"/>
  <c r="W56" i="15"/>
  <c r="W65" i="15"/>
  <c r="W41" i="15"/>
  <c r="X59" i="15"/>
  <c r="X56" i="15"/>
  <c r="X65" i="15"/>
  <c r="X41" i="15"/>
  <c r="Y59" i="15"/>
  <c r="Y56" i="15"/>
  <c r="Y65" i="15"/>
  <c r="Y41" i="15"/>
  <c r="Z59" i="15"/>
  <c r="Z33" i="15"/>
  <c r="Z56" i="15"/>
  <c r="Z65" i="15"/>
  <c r="Z41" i="15"/>
  <c r="AA59" i="15"/>
  <c r="AA33" i="15"/>
  <c r="AA56" i="15"/>
  <c r="AA65" i="15"/>
  <c r="AA41" i="15"/>
  <c r="AB59" i="15"/>
  <c r="AB56" i="15"/>
  <c r="AB65" i="15"/>
  <c r="AB41" i="15"/>
  <c r="I41" i="15"/>
  <c r="O40" i="15"/>
  <c r="J40" i="15"/>
  <c r="I40" i="15"/>
  <c r="J38" i="15"/>
  <c r="K38" i="15"/>
  <c r="L38" i="15"/>
  <c r="M38" i="15"/>
  <c r="N38" i="15"/>
  <c r="O38" i="15"/>
  <c r="P38" i="15"/>
  <c r="Q38" i="15"/>
  <c r="R38" i="15"/>
  <c r="S38" i="15"/>
  <c r="T38" i="15"/>
  <c r="U62" i="15"/>
  <c r="U38" i="15"/>
  <c r="V62" i="15"/>
  <c r="V38" i="15"/>
  <c r="W62" i="15"/>
  <c r="W38" i="15"/>
  <c r="X55" i="15"/>
  <c r="X62" i="15"/>
  <c r="X38" i="15"/>
  <c r="Y55" i="15"/>
  <c r="Y62" i="15"/>
  <c r="Y38" i="15"/>
  <c r="Z55" i="15"/>
  <c r="Z62" i="15"/>
  <c r="Z38" i="15"/>
  <c r="AA55" i="15"/>
  <c r="AA62" i="15"/>
  <c r="AA38" i="15"/>
  <c r="I38" i="15"/>
  <c r="U57" i="15"/>
  <c r="V57" i="15"/>
  <c r="W57" i="15"/>
  <c r="X57" i="15"/>
  <c r="Y57" i="15"/>
  <c r="Z57" i="15"/>
  <c r="Z63" i="15"/>
  <c r="Z39" i="15"/>
  <c r="AA57" i="15"/>
  <c r="AA63" i="15"/>
  <c r="AA39" i="15"/>
  <c r="Y63" i="15"/>
  <c r="Y39" i="15"/>
  <c r="V63" i="15"/>
  <c r="V39" i="15"/>
  <c r="W63" i="15"/>
  <c r="W39" i="15"/>
  <c r="X63" i="15"/>
  <c r="X39" i="15"/>
  <c r="U63" i="15"/>
  <c r="U39" i="15"/>
  <c r="Q39" i="15"/>
  <c r="N39" i="15"/>
  <c r="O39" i="15"/>
  <c r="P39" i="15"/>
  <c r="J39" i="15"/>
  <c r="K39" i="15"/>
  <c r="L39" i="15"/>
  <c r="M39" i="15"/>
  <c r="R39" i="15"/>
  <c r="S39" i="15"/>
  <c r="T39" i="15"/>
  <c r="I39" i="15"/>
  <c r="AC32" i="15"/>
  <c r="W124" i="1"/>
  <c r="Y145" i="1"/>
  <c r="AA145" i="1"/>
  <c r="AA147" i="1"/>
  <c r="Y147" i="1"/>
  <c r="V128" i="2"/>
  <c r="V138" i="1"/>
  <c r="W138" i="1" s="1"/>
  <c r="Y138" i="1" s="1"/>
  <c r="AA138" i="1" s="1"/>
  <c r="V140" i="1"/>
  <c r="W140" i="1" s="1"/>
  <c r="Y140" i="1" s="1"/>
  <c r="AA140" i="1" s="1"/>
  <c r="V137" i="1"/>
  <c r="W94" i="2"/>
  <c r="Y94" i="2" s="1"/>
  <c r="W103" i="2"/>
  <c r="Y99" i="2"/>
  <c r="AA99" i="2" s="1"/>
  <c r="X91" i="2"/>
  <c r="V94" i="2"/>
  <c r="S123" i="2"/>
  <c r="W133" i="2"/>
  <c r="Y133" i="2" s="1"/>
  <c r="S103" i="2"/>
  <c r="S92" i="2"/>
  <c r="U112" i="2"/>
  <c r="S91" i="2"/>
  <c r="S114" i="2"/>
  <c r="Y146" i="2"/>
  <c r="AA146" i="2" s="1"/>
  <c r="W162" i="2"/>
  <c r="Y162" i="2" s="1"/>
  <c r="AA162" i="2"/>
  <c r="Y164" i="2"/>
  <c r="AA164" i="2" s="1"/>
  <c r="W166" i="2"/>
  <c r="Y166" i="2" s="1"/>
  <c r="AA166" i="2" s="1"/>
  <c r="W163" i="2"/>
  <c r="Y163" i="2" s="1"/>
  <c r="AA163" i="2" s="1"/>
  <c r="S104" i="2"/>
  <c r="O26" i="4" s="1"/>
  <c r="S137" i="2"/>
  <c r="Y168" i="2"/>
  <c r="AA168" i="2" s="1"/>
  <c r="S126" i="2"/>
  <c r="S218" i="2"/>
  <c r="S214" i="2"/>
  <c r="S330" i="2" s="1"/>
  <c r="O30" i="4" s="1"/>
  <c r="O28" i="4" s="1"/>
  <c r="S176" i="2"/>
  <c r="S329" i="2" s="1"/>
  <c r="S94" i="2"/>
  <c r="S139" i="2"/>
  <c r="U214" i="1"/>
  <c r="V214" i="1"/>
  <c r="V210" i="1"/>
  <c r="R29" i="3" s="1"/>
  <c r="W167" i="1"/>
  <c r="Y152" i="1"/>
  <c r="AA152" i="1"/>
  <c r="V156" i="1"/>
  <c r="V110" i="1"/>
  <c r="S106" i="1"/>
  <c r="G101" i="15"/>
  <c r="G102" i="15"/>
  <c r="G103" i="15"/>
  <c r="G99" i="15"/>
  <c r="D65" i="15"/>
  <c r="G104" i="15"/>
  <c r="V133" i="1"/>
  <c r="W92" i="1"/>
  <c r="U86" i="1"/>
  <c r="S188" i="1"/>
  <c r="V188" i="1"/>
  <c r="W188" i="1"/>
  <c r="V187" i="1"/>
  <c r="W187" i="1"/>
  <c r="S185" i="1"/>
  <c r="V185" i="1"/>
  <c r="V182" i="1"/>
  <c r="L3" i="20"/>
  <c r="I8" i="20"/>
  <c r="J3" i="20"/>
  <c r="J4" i="20"/>
  <c r="J5" i="20"/>
  <c r="J6" i="20"/>
  <c r="J7" i="20"/>
  <c r="J8" i="20"/>
  <c r="K8" i="20"/>
  <c r="J13" i="20"/>
  <c r="J14" i="20"/>
  <c r="J15" i="20"/>
  <c r="J17" i="20"/>
  <c r="G8" i="20"/>
  <c r="E8" i="20"/>
  <c r="C8" i="20"/>
  <c r="B8" i="20"/>
  <c r="L7" i="20"/>
  <c r="D7" i="20"/>
  <c r="F7" i="20"/>
  <c r="L6" i="20"/>
  <c r="D6" i="20"/>
  <c r="F6" i="20"/>
  <c r="L5" i="20"/>
  <c r="D5" i="20"/>
  <c r="F5" i="20"/>
  <c r="L4" i="20"/>
  <c r="L12" i="20"/>
  <c r="D4" i="20"/>
  <c r="F4" i="20"/>
  <c r="L11" i="20"/>
  <c r="D3" i="20"/>
  <c r="F3" i="20"/>
  <c r="F8" i="20"/>
  <c r="L8" i="20"/>
  <c r="J11" i="20"/>
  <c r="J12" i="20"/>
  <c r="N8" i="20"/>
  <c r="O8" i="20"/>
  <c r="P8" i="20"/>
  <c r="V144" i="1"/>
  <c r="V121" i="1"/>
  <c r="V116" i="1" s="1"/>
  <c r="V101" i="1"/>
  <c r="V89" i="1"/>
  <c r="V92" i="1"/>
  <c r="V124" i="1"/>
  <c r="S217" i="1"/>
  <c r="S214" i="1"/>
  <c r="S210" i="1"/>
  <c r="S101" i="1"/>
  <c r="AE133" i="1"/>
  <c r="W141" i="1"/>
  <c r="Y141" i="1" s="1"/>
  <c r="AA141" i="1" s="1"/>
  <c r="S139" i="1"/>
  <c r="V139" i="1"/>
  <c r="W139" i="1" s="1"/>
  <c r="Y139" i="1" s="1"/>
  <c r="AA139" i="1" s="1"/>
  <c r="S136" i="1"/>
  <c r="V136" i="1"/>
  <c r="W136" i="1"/>
  <c r="Y136" i="1"/>
  <c r="AA136" i="1"/>
  <c r="S143" i="1"/>
  <c r="V143" i="1"/>
  <c r="W143" i="1" s="1"/>
  <c r="Y143" i="1" s="1"/>
  <c r="AA143" i="1" s="1"/>
  <c r="S142" i="1"/>
  <c r="V142" i="1"/>
  <c r="W142" i="1"/>
  <c r="Y142" i="1" s="1"/>
  <c r="AA142" i="1" s="1"/>
  <c r="S158" i="1"/>
  <c r="V158" i="1"/>
  <c r="W158" i="1"/>
  <c r="S160" i="1"/>
  <c r="V160" i="1"/>
  <c r="S161" i="1"/>
  <c r="V161" i="1"/>
  <c r="W161" i="1" s="1"/>
  <c r="S102" i="1"/>
  <c r="W163" i="1"/>
  <c r="S164" i="1"/>
  <c r="V164" i="1"/>
  <c r="W164" i="1" s="1"/>
  <c r="S159" i="1"/>
  <c r="V159" i="1"/>
  <c r="W159" i="1" s="1"/>
  <c r="S147" i="1"/>
  <c r="S90" i="1"/>
  <c r="S92" i="1"/>
  <c r="S162" i="1"/>
  <c r="V162" i="1"/>
  <c r="W162" i="1" s="1"/>
  <c r="S182" i="1"/>
  <c r="S144" i="1"/>
  <c r="S89" i="1"/>
  <c r="S20" i="1"/>
  <c r="S124" i="1"/>
  <c r="O349" i="2"/>
  <c r="P349" i="2"/>
  <c r="U218" i="2"/>
  <c r="U214" i="2" s="1"/>
  <c r="U330" i="2" s="1"/>
  <c r="U270" i="2"/>
  <c r="U201" i="2"/>
  <c r="U14" i="2"/>
  <c r="U79" i="2"/>
  <c r="U77" i="2"/>
  <c r="Q187" i="2"/>
  <c r="U191" i="2"/>
  <c r="U13" i="2"/>
  <c r="P49" i="14"/>
  <c r="U162" i="2"/>
  <c r="X162" i="2" s="1"/>
  <c r="U163" i="2"/>
  <c r="X163" i="2" s="1"/>
  <c r="U164" i="2"/>
  <c r="X164" i="2" s="1"/>
  <c r="U165" i="2"/>
  <c r="X165" i="2" s="1"/>
  <c r="U166" i="2"/>
  <c r="X166" i="2" s="1"/>
  <c r="U167" i="2"/>
  <c r="X167" i="2" s="1"/>
  <c r="U168" i="2"/>
  <c r="X168" i="2" s="1"/>
  <c r="U169" i="2"/>
  <c r="X169" i="2" s="1"/>
  <c r="U170" i="2"/>
  <c r="X170" i="2" s="1"/>
  <c r="U171" i="2"/>
  <c r="X171" i="2" s="1"/>
  <c r="U172" i="2"/>
  <c r="X172" i="2" s="1"/>
  <c r="U173" i="2"/>
  <c r="X173" i="2" s="1"/>
  <c r="U161" i="2"/>
  <c r="U141" i="2"/>
  <c r="X141" i="2" s="1"/>
  <c r="U142" i="2"/>
  <c r="X142" i="2" s="1"/>
  <c r="U143" i="2"/>
  <c r="X143" i="2" s="1"/>
  <c r="U144" i="2"/>
  <c r="X144" i="2" s="1"/>
  <c r="U145" i="2"/>
  <c r="X145" i="2" s="1"/>
  <c r="U146" i="2"/>
  <c r="X146" i="2" s="1"/>
  <c r="U140" i="2"/>
  <c r="U139" i="2"/>
  <c r="U138" i="2" s="1"/>
  <c r="U103" i="2"/>
  <c r="U128" i="2"/>
  <c r="U126" i="2" s="1"/>
  <c r="U125" i="2" s="1"/>
  <c r="U127" i="2"/>
  <c r="U121" i="2"/>
  <c r="U120" i="2" s="1"/>
  <c r="V354" i="2" s="1"/>
  <c r="U115" i="2"/>
  <c r="U111" i="2"/>
  <c r="U106" i="2" s="1"/>
  <c r="U108" i="2"/>
  <c r="U93" i="2"/>
  <c r="U94" i="2"/>
  <c r="U9" i="2"/>
  <c r="U18" i="1"/>
  <c r="P160" i="13" s="1"/>
  <c r="P161" i="13" s="1"/>
  <c r="N141" i="13"/>
  <c r="N142" i="13"/>
  <c r="N143" i="13"/>
  <c r="N144" i="13"/>
  <c r="N145" i="13"/>
  <c r="N140" i="13"/>
  <c r="N147" i="13"/>
  <c r="N148" i="13"/>
  <c r="N149" i="13"/>
  <c r="N150" i="13"/>
  <c r="N151" i="13"/>
  <c r="N146" i="13"/>
  <c r="N153" i="13"/>
  <c r="N154" i="13"/>
  <c r="N155" i="13"/>
  <c r="N156" i="13"/>
  <c r="N157" i="13"/>
  <c r="N152" i="13"/>
  <c r="N158" i="13"/>
  <c r="U182" i="1"/>
  <c r="U169" i="1"/>
  <c r="U102" i="1"/>
  <c r="U80" i="1"/>
  <c r="U78" i="1"/>
  <c r="Q352" i="1"/>
  <c r="U148" i="2"/>
  <c r="U92" i="2"/>
  <c r="U91" i="2" s="1"/>
  <c r="T355" i="2"/>
  <c r="U115" i="1"/>
  <c r="U119" i="1"/>
  <c r="U147" i="1"/>
  <c r="U136" i="1"/>
  <c r="U124" i="1"/>
  <c r="U117" i="1"/>
  <c r="U106" i="1"/>
  <c r="U92" i="1"/>
  <c r="U15" i="1"/>
  <c r="U14" i="1"/>
  <c r="P76" i="13"/>
  <c r="P217" i="13" s="1"/>
  <c r="P214" i="13"/>
  <c r="U10" i="1"/>
  <c r="U210" i="1"/>
  <c r="U111" i="1"/>
  <c r="U82" i="1"/>
  <c r="U9" i="1"/>
  <c r="AC9" i="1" s="1"/>
  <c r="U79" i="1"/>
  <c r="U323" i="1"/>
  <c r="U171" i="1"/>
  <c r="U168" i="1"/>
  <c r="X168" i="1" s="1"/>
  <c r="Z168" i="1" s="1"/>
  <c r="U159" i="1"/>
  <c r="X159" i="1" s="1"/>
  <c r="Z159" i="1" s="1"/>
  <c r="U160" i="1"/>
  <c r="X160" i="1" s="1"/>
  <c r="Z160" i="1" s="1"/>
  <c r="U161" i="1"/>
  <c r="X161" i="1" s="1"/>
  <c r="Z161" i="1" s="1"/>
  <c r="U162" i="1"/>
  <c r="X162" i="1" s="1"/>
  <c r="Z162" i="1" s="1"/>
  <c r="U163" i="1"/>
  <c r="X163" i="1" s="1"/>
  <c r="Z163" i="1" s="1"/>
  <c r="U164" i="1"/>
  <c r="X164" i="1" s="1"/>
  <c r="Z164" i="1" s="1"/>
  <c r="U165" i="1"/>
  <c r="X165" i="1" s="1"/>
  <c r="Z165" i="1" s="1"/>
  <c r="U166" i="1"/>
  <c r="X166" i="1" s="1"/>
  <c r="Z166" i="1" s="1"/>
  <c r="U158" i="1"/>
  <c r="U146" i="1"/>
  <c r="U145" i="1"/>
  <c r="U156" i="1"/>
  <c r="U137" i="1"/>
  <c r="X137" i="1" s="1"/>
  <c r="Z137" i="1" s="1"/>
  <c r="U138" i="1"/>
  <c r="X138" i="1" s="1"/>
  <c r="Z138" i="1" s="1"/>
  <c r="U139" i="1"/>
  <c r="X139" i="1" s="1"/>
  <c r="Z139" i="1" s="1"/>
  <c r="U140" i="1"/>
  <c r="X140" i="1" s="1"/>
  <c r="Z140" i="1" s="1"/>
  <c r="U141" i="1"/>
  <c r="X141" i="1" s="1"/>
  <c r="Z141" i="1" s="1"/>
  <c r="U142" i="1"/>
  <c r="X142" i="1" s="1"/>
  <c r="Z142" i="1" s="1"/>
  <c r="U143" i="1"/>
  <c r="X143" i="1" s="1"/>
  <c r="Z143" i="1" s="1"/>
  <c r="U123" i="1"/>
  <c r="U107" i="1"/>
  <c r="X107" i="1" s="1"/>
  <c r="X104" i="1" s="1"/>
  <c r="U108" i="1"/>
  <c r="X108" i="1" s="1"/>
  <c r="Z108" i="1" s="1"/>
  <c r="U109" i="1"/>
  <c r="X109" i="1" s="1"/>
  <c r="Z109" i="1" s="1"/>
  <c r="U110" i="1"/>
  <c r="X110" i="1" s="1"/>
  <c r="U91" i="1"/>
  <c r="U90" i="1"/>
  <c r="U87" i="1"/>
  <c r="U85" i="1"/>
  <c r="U104" i="1"/>
  <c r="U122" i="1"/>
  <c r="U133" i="1"/>
  <c r="U217" i="1"/>
  <c r="U101" i="1"/>
  <c r="U89" i="1"/>
  <c r="U11" i="1"/>
  <c r="U12" i="1"/>
  <c r="U13" i="1"/>
  <c r="AD11" i="1"/>
  <c r="AD12" i="1"/>
  <c r="AD13" i="1"/>
  <c r="AC10" i="1"/>
  <c r="C28" i="12"/>
  <c r="C6" i="12"/>
  <c r="C29" i="12"/>
  <c r="C30" i="12"/>
  <c r="I17" i="14"/>
  <c r="I20" i="14"/>
  <c r="I23" i="14"/>
  <c r="I26" i="14"/>
  <c r="I29" i="14"/>
  <c r="I36" i="14"/>
  <c r="J17" i="14"/>
  <c r="J20" i="14"/>
  <c r="J23" i="14"/>
  <c r="J27" i="14"/>
  <c r="J26" i="14"/>
  <c r="J30" i="14"/>
  <c r="J29" i="14"/>
  <c r="J36" i="14"/>
  <c r="K17" i="14"/>
  <c r="K20" i="14"/>
  <c r="K23" i="14"/>
  <c r="K26" i="14"/>
  <c r="K29" i="14"/>
  <c r="K32" i="14"/>
  <c r="K36" i="14"/>
  <c r="L17" i="14"/>
  <c r="L20" i="14"/>
  <c r="L23" i="14"/>
  <c r="L26" i="14"/>
  <c r="L29" i="14"/>
  <c r="L32" i="14"/>
  <c r="L36" i="14"/>
  <c r="M20" i="14"/>
  <c r="M26" i="14"/>
  <c r="M30" i="14"/>
  <c r="M29" i="14"/>
  <c r="O20" i="14"/>
  <c r="O23" i="14"/>
  <c r="O30" i="14"/>
  <c r="O29" i="14"/>
  <c r="P17" i="14"/>
  <c r="P20" i="14"/>
  <c r="P23" i="14"/>
  <c r="P26" i="14"/>
  <c r="P29" i="14"/>
  <c r="P32" i="14"/>
  <c r="Q20" i="14"/>
  <c r="Q23" i="14"/>
  <c r="Q30" i="14"/>
  <c r="Q29" i="14"/>
  <c r="R17" i="14"/>
  <c r="R20" i="14"/>
  <c r="R23" i="14"/>
  <c r="R26" i="14"/>
  <c r="R29" i="14"/>
  <c r="R32" i="14"/>
  <c r="S20" i="14"/>
  <c r="S23" i="14"/>
  <c r="S30" i="14"/>
  <c r="T17" i="14"/>
  <c r="T20" i="14"/>
  <c r="T23" i="14"/>
  <c r="T26" i="14"/>
  <c r="T29" i="14"/>
  <c r="T32" i="14"/>
  <c r="U20" i="14"/>
  <c r="U23" i="14"/>
  <c r="U30" i="14"/>
  <c r="U29" i="14"/>
  <c r="V17" i="14"/>
  <c r="V20" i="14"/>
  <c r="V23" i="14"/>
  <c r="V26" i="14"/>
  <c r="V29" i="14"/>
  <c r="V32" i="14"/>
  <c r="V36" i="14"/>
  <c r="H18" i="14"/>
  <c r="H17" i="14"/>
  <c r="H21" i="14"/>
  <c r="H20" i="14"/>
  <c r="H24" i="14"/>
  <c r="H23" i="14"/>
  <c r="H29" i="14"/>
  <c r="H36" i="14"/>
  <c r="H14" i="14"/>
  <c r="H13" i="14"/>
  <c r="H35" i="14"/>
  <c r="J13" i="14"/>
  <c r="J35" i="14"/>
  <c r="J37" i="14"/>
  <c r="L13" i="14"/>
  <c r="L35" i="14"/>
  <c r="L37" i="14"/>
  <c r="P13" i="14"/>
  <c r="R13" i="14"/>
  <c r="T13" i="14"/>
  <c r="T35" i="14"/>
  <c r="M58" i="4"/>
  <c r="C20" i="6"/>
  <c r="B20" i="6"/>
  <c r="E19" i="6"/>
  <c r="D19" i="6"/>
  <c r="F19" i="6"/>
  <c r="E18" i="6"/>
  <c r="D18" i="6"/>
  <c r="D20" i="6"/>
  <c r="F18" i="6"/>
  <c r="F20" i="6"/>
  <c r="G7" i="18"/>
  <c r="F7" i="18"/>
  <c r="H7" i="18"/>
  <c r="G5" i="18"/>
  <c r="F5" i="18"/>
  <c r="H5" i="18"/>
  <c r="G17" i="9"/>
  <c r="G45" i="9"/>
  <c r="G52" i="9"/>
  <c r="N404" i="14"/>
  <c r="O403" i="14"/>
  <c r="O404" i="14"/>
  <c r="O405" i="14"/>
  <c r="D23" i="17"/>
  <c r="F23" i="17"/>
  <c r="D19" i="17"/>
  <c r="F19" i="17"/>
  <c r="D20" i="17"/>
  <c r="F20" i="17"/>
  <c r="D21" i="17"/>
  <c r="F21" i="17"/>
  <c r="D22" i="17"/>
  <c r="F22" i="17"/>
  <c r="F24" i="17"/>
  <c r="G23" i="17"/>
  <c r="G22" i="17"/>
  <c r="G21" i="17"/>
  <c r="G20" i="17"/>
  <c r="G19" i="17"/>
  <c r="F27" i="17"/>
  <c r="H26" i="17"/>
  <c r="J33" i="17"/>
  <c r="J34" i="17"/>
  <c r="J35" i="17"/>
  <c r="J36" i="17"/>
  <c r="J38" i="17"/>
  <c r="T171" i="1"/>
  <c r="J4" i="17"/>
  <c r="J12" i="17"/>
  <c r="J30" i="17"/>
  <c r="K3" i="17"/>
  <c r="K11" i="17"/>
  <c r="H24" i="17"/>
  <c r="G24" i="17"/>
  <c r="E24" i="17"/>
  <c r="C24" i="17"/>
  <c r="B24" i="17"/>
  <c r="K23" i="17"/>
  <c r="L23" i="17"/>
  <c r="M23" i="17"/>
  <c r="N23" i="17"/>
  <c r="J23" i="17"/>
  <c r="K22" i="17"/>
  <c r="L22" i="17"/>
  <c r="M22" i="17"/>
  <c r="N22" i="17"/>
  <c r="J22" i="17"/>
  <c r="K21" i="17"/>
  <c r="L21" i="17"/>
  <c r="M21" i="17"/>
  <c r="N21" i="17"/>
  <c r="J21" i="17"/>
  <c r="K20" i="17"/>
  <c r="L20" i="17"/>
  <c r="M20" i="17"/>
  <c r="N20" i="17"/>
  <c r="J20" i="17"/>
  <c r="K19" i="17"/>
  <c r="K24" i="17"/>
  <c r="J19" i="17"/>
  <c r="J24" i="17"/>
  <c r="H8" i="17"/>
  <c r="G8" i="17"/>
  <c r="E8" i="17"/>
  <c r="C8" i="17"/>
  <c r="B8" i="17"/>
  <c r="K7" i="17"/>
  <c r="L7" i="17"/>
  <c r="M7" i="17"/>
  <c r="N7" i="17"/>
  <c r="J7" i="17"/>
  <c r="D7" i="17"/>
  <c r="F7" i="17"/>
  <c r="K6" i="17"/>
  <c r="L6" i="17"/>
  <c r="M6" i="17"/>
  <c r="N6" i="17"/>
  <c r="J6" i="17"/>
  <c r="D6" i="17"/>
  <c r="F6" i="17"/>
  <c r="K5" i="17"/>
  <c r="L5" i="17"/>
  <c r="M5" i="17"/>
  <c r="N5" i="17"/>
  <c r="J5" i="17"/>
  <c r="D5" i="17"/>
  <c r="F5" i="17"/>
  <c r="O4" i="17"/>
  <c r="P4" i="17"/>
  <c r="K4" i="17"/>
  <c r="K12" i="17"/>
  <c r="D4" i="17"/>
  <c r="F4" i="17"/>
  <c r="O3" i="17"/>
  <c r="P3" i="17"/>
  <c r="J3" i="17"/>
  <c r="D3" i="17"/>
  <c r="F3" i="17"/>
  <c r="F8" i="17"/>
  <c r="J8" i="17"/>
  <c r="J28" i="17"/>
  <c r="L4" i="17"/>
  <c r="M4" i="17"/>
  <c r="N4" i="17"/>
  <c r="L3" i="17"/>
  <c r="K8" i="17"/>
  <c r="J11" i="17"/>
  <c r="L19" i="17"/>
  <c r="J11" i="16"/>
  <c r="M401" i="14"/>
  <c r="M397" i="14"/>
  <c r="J401" i="14"/>
  <c r="L400" i="14"/>
  <c r="V398" i="14"/>
  <c r="L398" i="14"/>
  <c r="T397" i="14"/>
  <c r="R397" i="14"/>
  <c r="P397" i="14"/>
  <c r="N397" i="14"/>
  <c r="N400" i="14"/>
  <c r="J397" i="14"/>
  <c r="J400" i="14"/>
  <c r="L24" i="17"/>
  <c r="M19" i="17"/>
  <c r="L8" i="17"/>
  <c r="M3" i="17"/>
  <c r="K22" i="16"/>
  <c r="K19" i="16"/>
  <c r="H24" i="16"/>
  <c r="G24" i="16"/>
  <c r="E24" i="16"/>
  <c r="C24" i="16"/>
  <c r="B24" i="16"/>
  <c r="K23" i="16"/>
  <c r="L23" i="16"/>
  <c r="M23" i="16"/>
  <c r="N23" i="16"/>
  <c r="J23" i="16"/>
  <c r="D23" i="16"/>
  <c r="F23" i="16"/>
  <c r="L22" i="16"/>
  <c r="M22" i="16"/>
  <c r="N22" i="16"/>
  <c r="J22" i="16"/>
  <c r="D22" i="16"/>
  <c r="F22" i="16"/>
  <c r="K21" i="16"/>
  <c r="L21" i="16"/>
  <c r="M21" i="16"/>
  <c r="N21" i="16"/>
  <c r="J21" i="16"/>
  <c r="D21" i="16"/>
  <c r="F21" i="16"/>
  <c r="K20" i="16"/>
  <c r="L20" i="16"/>
  <c r="M20" i="16"/>
  <c r="N20" i="16"/>
  <c r="J20" i="16"/>
  <c r="D20" i="16"/>
  <c r="F20" i="16"/>
  <c r="K24" i="16"/>
  <c r="J19" i="16"/>
  <c r="J24" i="16"/>
  <c r="D19" i="16"/>
  <c r="F19" i="16"/>
  <c r="F24" i="16"/>
  <c r="M8" i="17"/>
  <c r="N3" i="17"/>
  <c r="N8" i="17"/>
  <c r="M24" i="17"/>
  <c r="N19" i="17"/>
  <c r="N24" i="17"/>
  <c r="L19" i="16"/>
  <c r="K3" i="16"/>
  <c r="L24" i="16"/>
  <c r="M19" i="16"/>
  <c r="C15" i="12"/>
  <c r="C16" i="12"/>
  <c r="C17" i="12"/>
  <c r="B17" i="12"/>
  <c r="C7" i="12"/>
  <c r="B7" i="12"/>
  <c r="K4" i="16"/>
  <c r="K12" i="16"/>
  <c r="J4" i="16"/>
  <c r="J12" i="16"/>
  <c r="O4" i="16"/>
  <c r="O3" i="16"/>
  <c r="P3" i="16"/>
  <c r="K11" i="16"/>
  <c r="P4" i="16"/>
  <c r="M24" i="16"/>
  <c r="N19" i="16"/>
  <c r="N24" i="16"/>
  <c r="O345" i="1"/>
  <c r="P345" i="1"/>
  <c r="R23" i="4"/>
  <c r="R21" i="4" s="1"/>
  <c r="R19" i="4" s="1"/>
  <c r="R9" i="4" s="1"/>
  <c r="T196" i="1"/>
  <c r="U196" i="1"/>
  <c r="W196" i="1"/>
  <c r="X196" i="1"/>
  <c r="Z196" i="1"/>
  <c r="AA196" i="1"/>
  <c r="AB196" i="1"/>
  <c r="Y206" i="1"/>
  <c r="Y196" i="1"/>
  <c r="Y201" i="2"/>
  <c r="W201" i="2"/>
  <c r="AB332" i="2"/>
  <c r="T201" i="2"/>
  <c r="T103" i="2"/>
  <c r="R103" i="2"/>
  <c r="R91" i="2" s="1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5" i="2"/>
  <c r="O216" i="2"/>
  <c r="O217" i="2"/>
  <c r="O219" i="2"/>
  <c r="O220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N192" i="2"/>
  <c r="O192" i="2" s="1"/>
  <c r="W120" i="1"/>
  <c r="T120" i="1"/>
  <c r="R201" i="2"/>
  <c r="T193" i="2"/>
  <c r="N193" i="2"/>
  <c r="R193" i="2"/>
  <c r="T192" i="2"/>
  <c r="R192" i="2"/>
  <c r="P192" i="2"/>
  <c r="O358" i="14"/>
  <c r="Q340" i="14"/>
  <c r="L388" i="14"/>
  <c r="M324" i="14"/>
  <c r="R133" i="1"/>
  <c r="Q326" i="13"/>
  <c r="L325" i="14"/>
  <c r="L307" i="14"/>
  <c r="R108" i="2"/>
  <c r="U265" i="14"/>
  <c r="U264" i="14"/>
  <c r="S265" i="14"/>
  <c r="S264" i="14"/>
  <c r="S271" i="14"/>
  <c r="Q271" i="14"/>
  <c r="M271" i="14"/>
  <c r="N271" i="14"/>
  <c r="L265" i="14"/>
  <c r="L264" i="14"/>
  <c r="L266" i="14"/>
  <c r="L267" i="14"/>
  <c r="L268" i="14"/>
  <c r="L269" i="14"/>
  <c r="L270" i="14"/>
  <c r="L271" i="14"/>
  <c r="M220" i="14"/>
  <c r="O220" i="14"/>
  <c r="Q220" i="14"/>
  <c r="S220" i="14"/>
  <c r="U220" i="14"/>
  <c r="M219" i="14"/>
  <c r="O219" i="14"/>
  <c r="V221" i="14"/>
  <c r="T221" i="14"/>
  <c r="R221" i="14"/>
  <c r="P221" i="14"/>
  <c r="N221" i="14"/>
  <c r="L235" i="14"/>
  <c r="L180" i="14"/>
  <c r="O172" i="14"/>
  <c r="L184" i="14"/>
  <c r="L146" i="14"/>
  <c r="L94" i="14"/>
  <c r="M221" i="14"/>
  <c r="O221" i="14"/>
  <c r="Q219" i="14"/>
  <c r="R196" i="1"/>
  <c r="O475" i="13"/>
  <c r="M475" i="13"/>
  <c r="L475" i="13"/>
  <c r="U442" i="13"/>
  <c r="U433" i="13"/>
  <c r="S442" i="13"/>
  <c r="S433" i="13"/>
  <c r="Q442" i="13"/>
  <c r="Q433" i="13"/>
  <c r="P182" i="1"/>
  <c r="T187" i="1"/>
  <c r="Y187" i="1"/>
  <c r="AA187" i="1"/>
  <c r="L362" i="13"/>
  <c r="L363" i="13"/>
  <c r="L364" i="13"/>
  <c r="S219" i="14"/>
  <c r="Q221" i="14"/>
  <c r="L265" i="13"/>
  <c r="L263" i="13"/>
  <c r="L264" i="13"/>
  <c r="L270" i="13"/>
  <c r="L269" i="13"/>
  <c r="L268" i="13"/>
  <c r="L267" i="13"/>
  <c r="L272" i="13"/>
  <c r="O272" i="13"/>
  <c r="S221" i="14"/>
  <c r="U219" i="14"/>
  <c r="U221" i="14"/>
  <c r="T86" i="1"/>
  <c r="W85" i="1"/>
  <c r="R79" i="1"/>
  <c r="L213" i="13"/>
  <c r="L214" i="13"/>
  <c r="L210" i="13"/>
  <c r="L206" i="13"/>
  <c r="U165" i="13"/>
  <c r="S165" i="13"/>
  <c r="N32" i="14"/>
  <c r="U40" i="13"/>
  <c r="L215" i="13"/>
  <c r="M199" i="13"/>
  <c r="O165" i="13"/>
  <c r="T85" i="1"/>
  <c r="Q165" i="13"/>
  <c r="L31" i="13"/>
  <c r="O25" i="13"/>
  <c r="L46" i="13"/>
  <c r="Q44" i="3"/>
  <c r="Q47" i="3" s="1"/>
  <c r="P20" i="3"/>
  <c r="O20" i="3"/>
  <c r="N17" i="1" s="1"/>
  <c r="O17" i="1" s="1"/>
  <c r="N19" i="2"/>
  <c r="N22" i="4"/>
  <c r="N20" i="4" s="1"/>
  <c r="N16" i="2" s="1"/>
  <c r="O16" i="2" s="1"/>
  <c r="W27" i="4"/>
  <c r="S27" i="4"/>
  <c r="R19" i="2"/>
  <c r="R56" i="2"/>
  <c r="R62" i="2" s="1"/>
  <c r="P148" i="2"/>
  <c r="N27" i="4"/>
  <c r="N26" i="4"/>
  <c r="N19" i="4"/>
  <c r="N21" i="4" s="1"/>
  <c r="P11" i="3"/>
  <c r="O14" i="3"/>
  <c r="P14" i="3" s="1"/>
  <c r="T325" i="1"/>
  <c r="U144" i="1"/>
  <c r="Z144" i="1"/>
  <c r="T121" i="1"/>
  <c r="T116" i="1" s="1"/>
  <c r="U121" i="1"/>
  <c r="U116" i="1" s="1"/>
  <c r="AC116" i="1" s="1"/>
  <c r="Z116" i="1"/>
  <c r="Z104" i="1"/>
  <c r="AB104" i="1"/>
  <c r="T18" i="1"/>
  <c r="X210" i="1"/>
  <c r="X326" i="1" s="1"/>
  <c r="Z214" i="1"/>
  <c r="AB214" i="1"/>
  <c r="AB210" i="1"/>
  <c r="AB81" i="1"/>
  <c r="U81" i="1"/>
  <c r="O28" i="3"/>
  <c r="O26" i="3"/>
  <c r="U352" i="1"/>
  <c r="U16" i="1"/>
  <c r="U8" i="1" s="1"/>
  <c r="O10" i="8"/>
  <c r="O11" i="8"/>
  <c r="N12" i="8"/>
  <c r="O12" i="8"/>
  <c r="O13" i="8"/>
  <c r="O14" i="8"/>
  <c r="O15" i="8"/>
  <c r="O16" i="8"/>
  <c r="O17" i="8"/>
  <c r="N18" i="8"/>
  <c r="O18" i="8"/>
  <c r="N19" i="8"/>
  <c r="O19" i="8"/>
  <c r="N20" i="8"/>
  <c r="O20" i="8"/>
  <c r="O21" i="8"/>
  <c r="N22" i="8"/>
  <c r="O22" i="8"/>
  <c r="N23" i="8"/>
  <c r="O23" i="8"/>
  <c r="O24" i="8"/>
  <c r="O25" i="8"/>
  <c r="O26" i="8"/>
  <c r="O27" i="8"/>
  <c r="O28" i="8"/>
  <c r="N29" i="8"/>
  <c r="O29" i="8"/>
  <c r="N30" i="8"/>
  <c r="O30" i="8"/>
  <c r="O31" i="8"/>
  <c r="O32" i="8"/>
  <c r="O33" i="8"/>
  <c r="N34" i="8"/>
  <c r="O34" i="8"/>
  <c r="O35" i="8"/>
  <c r="O36" i="8"/>
  <c r="N37" i="8"/>
  <c r="O37" i="8"/>
  <c r="N38" i="8"/>
  <c r="O38" i="8"/>
  <c r="N39" i="8"/>
  <c r="O39" i="8"/>
  <c r="N40" i="8"/>
  <c r="O40" i="8"/>
  <c r="N41" i="8"/>
  <c r="O41" i="8"/>
  <c r="N42" i="8"/>
  <c r="O42" i="8"/>
  <c r="N43" i="8"/>
  <c r="O43" i="8"/>
  <c r="O44" i="8"/>
  <c r="O45" i="8"/>
  <c r="O46" i="8"/>
  <c r="O47" i="8"/>
  <c r="N48" i="8"/>
  <c r="O48" i="8"/>
  <c r="N49" i="8"/>
  <c r="O49" i="8"/>
  <c r="N50" i="8"/>
  <c r="O50" i="8"/>
  <c r="N53" i="8"/>
  <c r="O53" i="8"/>
  <c r="O54" i="8"/>
  <c r="O55" i="8"/>
  <c r="N56" i="8"/>
  <c r="O56" i="8"/>
  <c r="O57" i="8"/>
  <c r="X115" i="2"/>
  <c r="Z115" i="2"/>
  <c r="AB115" i="2"/>
  <c r="V56" i="8"/>
  <c r="X56" i="8"/>
  <c r="Z56" i="8"/>
  <c r="V55" i="8"/>
  <c r="X55" i="8"/>
  <c r="Z55" i="8"/>
  <c r="V54" i="8"/>
  <c r="X54" i="8"/>
  <c r="Z54" i="8"/>
  <c r="V53" i="8"/>
  <c r="AB111" i="1"/>
  <c r="N123" i="2"/>
  <c r="N108" i="2"/>
  <c r="N114" i="2"/>
  <c r="R114" i="2"/>
  <c r="T114" i="2" s="1"/>
  <c r="AB106" i="2"/>
  <c r="P106" i="2"/>
  <c r="P104" i="1"/>
  <c r="N106" i="1"/>
  <c r="R106" i="1"/>
  <c r="T106" i="1"/>
  <c r="N110" i="1"/>
  <c r="R110" i="1"/>
  <c r="T110" i="1"/>
  <c r="W110" i="1"/>
  <c r="Y110" i="1"/>
  <c r="AA110" i="1"/>
  <c r="R108" i="1"/>
  <c r="N111" i="2"/>
  <c r="N106" i="2"/>
  <c r="N109" i="1"/>
  <c r="N104" i="1"/>
  <c r="R109" i="1"/>
  <c r="T109" i="1"/>
  <c r="R85" i="1"/>
  <c r="N82" i="1"/>
  <c r="R104" i="1"/>
  <c r="T104" i="1"/>
  <c r="N121" i="2"/>
  <c r="T188" i="1"/>
  <c r="Y188" i="1"/>
  <c r="AA188" i="1"/>
  <c r="H8" i="16"/>
  <c r="G8" i="16"/>
  <c r="E8" i="16"/>
  <c r="C8" i="16"/>
  <c r="B8" i="16"/>
  <c r="K7" i="16"/>
  <c r="L7" i="16"/>
  <c r="M7" i="16"/>
  <c r="N7" i="16"/>
  <c r="J7" i="16"/>
  <c r="D7" i="16"/>
  <c r="F7" i="16"/>
  <c r="K6" i="16"/>
  <c r="L6" i="16"/>
  <c r="M6" i="16"/>
  <c r="N6" i="16"/>
  <c r="J6" i="16"/>
  <c r="D6" i="16"/>
  <c r="F6" i="16"/>
  <c r="K5" i="16"/>
  <c r="L5" i="16"/>
  <c r="M5" i="16"/>
  <c r="N5" i="16"/>
  <c r="J5" i="16"/>
  <c r="D5" i="16"/>
  <c r="F5" i="16"/>
  <c r="T189" i="2"/>
  <c r="R189" i="2"/>
  <c r="D4" i="16"/>
  <c r="F4" i="16"/>
  <c r="D3" i="16"/>
  <c r="F3" i="16"/>
  <c r="F8" i="16"/>
  <c r="L4" i="16"/>
  <c r="K8" i="16"/>
  <c r="T184" i="1"/>
  <c r="J8" i="16"/>
  <c r="L3" i="16"/>
  <c r="M4" i="16"/>
  <c r="L8" i="16"/>
  <c r="M3" i="16"/>
  <c r="N4" i="16"/>
  <c r="M8" i="16"/>
  <c r="N3" i="16"/>
  <c r="N8" i="16"/>
  <c r="T83" i="1"/>
  <c r="R84" i="1"/>
  <c r="R82" i="1"/>
  <c r="R81" i="1"/>
  <c r="T82" i="1"/>
  <c r="T81" i="1"/>
  <c r="A104" i="15"/>
  <c r="J87" i="15"/>
  <c r="J85" i="15"/>
  <c r="J84" i="15"/>
  <c r="J83" i="15"/>
  <c r="I82" i="15"/>
  <c r="H82" i="15"/>
  <c r="G82" i="15"/>
  <c r="F82" i="15"/>
  <c r="E82" i="15"/>
  <c r="D82" i="15"/>
  <c r="C82" i="15"/>
  <c r="J82" i="15"/>
  <c r="J81" i="15"/>
  <c r="J80" i="15"/>
  <c r="J79" i="15"/>
  <c r="J78" i="15"/>
  <c r="I77" i="15"/>
  <c r="H77" i="15"/>
  <c r="G77" i="15"/>
  <c r="F77" i="15"/>
  <c r="E77" i="15"/>
  <c r="D77" i="15"/>
  <c r="C77" i="15"/>
  <c r="J76" i="15"/>
  <c r="J75" i="15"/>
  <c r="J74" i="15"/>
  <c r="I73" i="15"/>
  <c r="H73" i="15"/>
  <c r="H88" i="15"/>
  <c r="G73" i="15"/>
  <c r="F73" i="15"/>
  <c r="F88" i="15"/>
  <c r="E73" i="15"/>
  <c r="D73" i="15"/>
  <c r="D88" i="15"/>
  <c r="C73" i="15"/>
  <c r="D62" i="15"/>
  <c r="D58" i="15"/>
  <c r="D64" i="15"/>
  <c r="C40" i="15"/>
  <c r="D63" i="15"/>
  <c r="C39" i="15"/>
  <c r="AC55" i="15"/>
  <c r="AB55" i="15"/>
  <c r="H55" i="15"/>
  <c r="G55" i="15"/>
  <c r="F55" i="15"/>
  <c r="E55" i="15"/>
  <c r="C38" i="15"/>
  <c r="E25" i="15"/>
  <c r="F25" i="15"/>
  <c r="G25" i="15"/>
  <c r="G24" i="15"/>
  <c r="D25" i="15"/>
  <c r="C25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E24" i="15"/>
  <c r="D24" i="15"/>
  <c r="C24" i="15"/>
  <c r="C23" i="15"/>
  <c r="C22" i="15"/>
  <c r="S21" i="15"/>
  <c r="Q21" i="15"/>
  <c r="Q19" i="15"/>
  <c r="G21" i="15"/>
  <c r="E21" i="15"/>
  <c r="E19" i="15"/>
  <c r="C21" i="15"/>
  <c r="G20" i="15"/>
  <c r="F20" i="15"/>
  <c r="F19" i="15"/>
  <c r="D20" i="15"/>
  <c r="C20" i="15"/>
  <c r="AB19" i="15"/>
  <c r="AA19" i="15"/>
  <c r="Z19" i="15"/>
  <c r="Y19" i="15"/>
  <c r="X19" i="15"/>
  <c r="W19" i="15"/>
  <c r="V19" i="15"/>
  <c r="U19" i="15"/>
  <c r="T19" i="15"/>
  <c r="S19" i="15"/>
  <c r="R19" i="15"/>
  <c r="P19" i="15"/>
  <c r="O19" i="15"/>
  <c r="N19" i="15"/>
  <c r="M19" i="15"/>
  <c r="L19" i="15"/>
  <c r="K19" i="15"/>
  <c r="J19" i="15"/>
  <c r="I19" i="15"/>
  <c r="H19" i="15"/>
  <c r="D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AB6" i="15"/>
  <c r="AB5" i="15"/>
  <c r="AA6" i="15"/>
  <c r="Z6" i="15"/>
  <c r="Z5" i="15"/>
  <c r="Y6" i="15"/>
  <c r="Y5" i="15"/>
  <c r="T6" i="15"/>
  <c r="T5" i="15"/>
  <c r="S6" i="15"/>
  <c r="R6" i="15"/>
  <c r="R5" i="15"/>
  <c r="Q6" i="15"/>
  <c r="Q5" i="15"/>
  <c r="E6" i="15"/>
  <c r="AA5" i="15"/>
  <c r="X5" i="15"/>
  <c r="W5" i="15"/>
  <c r="V5" i="15"/>
  <c r="U5" i="15"/>
  <c r="S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G19" i="15"/>
  <c r="C19" i="15"/>
  <c r="C88" i="15"/>
  <c r="E88" i="15"/>
  <c r="G88" i="15"/>
  <c r="I88" i="15"/>
  <c r="J77" i="15"/>
  <c r="C17" i="15"/>
  <c r="E17" i="15"/>
  <c r="G17" i="15"/>
  <c r="I17" i="15"/>
  <c r="K17" i="15"/>
  <c r="M17" i="15"/>
  <c r="O17" i="15"/>
  <c r="Q17" i="15"/>
  <c r="S17" i="15"/>
  <c r="U17" i="15"/>
  <c r="W17" i="15"/>
  <c r="Y17" i="15"/>
  <c r="AA17" i="15"/>
  <c r="E62" i="15"/>
  <c r="D38" i="15"/>
  <c r="E65" i="15"/>
  <c r="C37" i="15"/>
  <c r="C27" i="15"/>
  <c r="D17" i="15"/>
  <c r="F17" i="15"/>
  <c r="H17" i="15"/>
  <c r="J17" i="15"/>
  <c r="L17" i="15"/>
  <c r="P17" i="15"/>
  <c r="R17" i="15"/>
  <c r="T17" i="15"/>
  <c r="V17" i="15"/>
  <c r="X17" i="15"/>
  <c r="Z17" i="15"/>
  <c r="AB17" i="15"/>
  <c r="F24" i="15"/>
  <c r="C44" i="15"/>
  <c r="E58" i="15"/>
  <c r="D92" i="15"/>
  <c r="D91" i="15"/>
  <c r="F92" i="15"/>
  <c r="F91" i="15"/>
  <c r="H92" i="15"/>
  <c r="H91" i="15"/>
  <c r="D66" i="15"/>
  <c r="C92" i="15"/>
  <c r="C91" i="15"/>
  <c r="C89" i="15"/>
  <c r="D87" i="15"/>
  <c r="D89" i="15"/>
  <c r="E87" i="15"/>
  <c r="E89" i="15"/>
  <c r="F87" i="15"/>
  <c r="F89" i="15"/>
  <c r="G87" i="15"/>
  <c r="G89" i="15"/>
  <c r="H87" i="15"/>
  <c r="H89" i="15"/>
  <c r="I87" i="15"/>
  <c r="I89" i="15"/>
  <c r="E92" i="15"/>
  <c r="E91" i="15"/>
  <c r="G92" i="15"/>
  <c r="G91" i="15"/>
  <c r="I92" i="15"/>
  <c r="I91" i="15"/>
  <c r="J73" i="15"/>
  <c r="J88" i="15"/>
  <c r="J89" i="15"/>
  <c r="C45" i="15"/>
  <c r="D3" i="15"/>
  <c r="F62" i="15"/>
  <c r="E38" i="15"/>
  <c r="F65" i="15"/>
  <c r="G65" i="15"/>
  <c r="E63" i="15"/>
  <c r="J92" i="15"/>
  <c r="J91" i="15"/>
  <c r="E64" i="15"/>
  <c r="D40" i="15"/>
  <c r="F58" i="15"/>
  <c r="G62" i="15"/>
  <c r="H65" i="15"/>
  <c r="F38" i="15"/>
  <c r="F64" i="15"/>
  <c r="E40" i="15"/>
  <c r="G58" i="15"/>
  <c r="F63" i="15"/>
  <c r="D39" i="15"/>
  <c r="D37" i="15"/>
  <c r="D27" i="15"/>
  <c r="D44" i="15"/>
  <c r="D45" i="15"/>
  <c r="E3" i="15"/>
  <c r="E66" i="15"/>
  <c r="H62" i="15"/>
  <c r="G63" i="15"/>
  <c r="G64" i="15"/>
  <c r="F40" i="15"/>
  <c r="H58" i="15"/>
  <c r="G38" i="15"/>
  <c r="E39" i="15"/>
  <c r="E37" i="15"/>
  <c r="F66" i="15"/>
  <c r="H64" i="15"/>
  <c r="G40" i="15"/>
  <c r="H63" i="15"/>
  <c r="H38" i="15"/>
  <c r="E27" i="15"/>
  <c r="E44" i="15"/>
  <c r="E45" i="15"/>
  <c r="F3" i="15"/>
  <c r="F39" i="15"/>
  <c r="F37" i="15"/>
  <c r="F27" i="15"/>
  <c r="F44" i="15"/>
  <c r="G66" i="15"/>
  <c r="G39" i="15"/>
  <c r="G37" i="15"/>
  <c r="G27" i="15"/>
  <c r="G44" i="15"/>
  <c r="H66" i="15"/>
  <c r="F45" i="15"/>
  <c r="G3" i="15"/>
  <c r="H40" i="15"/>
  <c r="G45" i="15"/>
  <c r="H3" i="15"/>
  <c r="H39" i="15"/>
  <c r="H37" i="15"/>
  <c r="H27" i="15"/>
  <c r="H44" i="15"/>
  <c r="H45" i="15"/>
  <c r="I3" i="15"/>
  <c r="E103" i="15"/>
  <c r="K40" i="15"/>
  <c r="E101" i="15"/>
  <c r="E100" i="15"/>
  <c r="R104" i="2"/>
  <c r="I37" i="15"/>
  <c r="E102" i="15"/>
  <c r="R102" i="1"/>
  <c r="I27" i="15"/>
  <c r="I44" i="15"/>
  <c r="I45" i="15"/>
  <c r="J3" i="15"/>
  <c r="L40" i="15"/>
  <c r="E104" i="15"/>
  <c r="J37" i="15"/>
  <c r="J27" i="15"/>
  <c r="J44" i="15"/>
  <c r="J102" i="15"/>
  <c r="J103" i="15"/>
  <c r="V102" i="1"/>
  <c r="R26" i="3" s="1"/>
  <c r="M40" i="15"/>
  <c r="J45" i="15"/>
  <c r="K3" i="15"/>
  <c r="K37" i="15"/>
  <c r="K27" i="15"/>
  <c r="K44" i="15"/>
  <c r="K45" i="15"/>
  <c r="L3" i="15"/>
  <c r="N40" i="15"/>
  <c r="L37" i="15"/>
  <c r="L27" i="15"/>
  <c r="L44" i="15"/>
  <c r="L45" i="15"/>
  <c r="M3" i="15"/>
  <c r="I98" i="15"/>
  <c r="M37" i="15"/>
  <c r="I102" i="15"/>
  <c r="I100" i="15"/>
  <c r="T104" i="2"/>
  <c r="I103" i="15"/>
  <c r="I101" i="15"/>
  <c r="T102" i="1"/>
  <c r="N37" i="15"/>
  <c r="M27" i="15"/>
  <c r="M44" i="15"/>
  <c r="M45" i="15"/>
  <c r="N3" i="15"/>
  <c r="N27" i="15"/>
  <c r="N44" i="15"/>
  <c r="N103" i="15"/>
  <c r="I104" i="15"/>
  <c r="O37" i="15"/>
  <c r="P40" i="15"/>
  <c r="N102" i="15"/>
  <c r="N101" i="15"/>
  <c r="W102" i="1"/>
  <c r="AF25" i="3" s="1"/>
  <c r="Q40" i="15"/>
  <c r="O27" i="15"/>
  <c r="O44" i="15"/>
  <c r="P37" i="15"/>
  <c r="P27" i="15"/>
  <c r="P44" i="15"/>
  <c r="M98" i="15"/>
  <c r="M100" i="15"/>
  <c r="S26" i="4"/>
  <c r="R40" i="15"/>
  <c r="Q37" i="15"/>
  <c r="Q27" i="15"/>
  <c r="Q44" i="15"/>
  <c r="S40" i="15"/>
  <c r="M103" i="15"/>
  <c r="M101" i="15"/>
  <c r="M102" i="15"/>
  <c r="R37" i="15"/>
  <c r="R27" i="15"/>
  <c r="R44" i="15"/>
  <c r="R103" i="15"/>
  <c r="U64" i="15"/>
  <c r="T40" i="15"/>
  <c r="M104" i="15"/>
  <c r="S37" i="15"/>
  <c r="S27" i="15"/>
  <c r="S44" i="15"/>
  <c r="R99" i="15"/>
  <c r="Y102" i="1"/>
  <c r="R102" i="15"/>
  <c r="R100" i="15"/>
  <c r="Y104" i="2"/>
  <c r="R101" i="15"/>
  <c r="U66" i="15"/>
  <c r="V64" i="15"/>
  <c r="U40" i="15"/>
  <c r="V66" i="15"/>
  <c r="T37" i="15"/>
  <c r="U37" i="15"/>
  <c r="T27" i="15"/>
  <c r="T44" i="15"/>
  <c r="Q98" i="15"/>
  <c r="W64" i="15"/>
  <c r="V40" i="15"/>
  <c r="W66" i="15"/>
  <c r="V37" i="15"/>
  <c r="U27" i="15"/>
  <c r="U44" i="15"/>
  <c r="X64" i="15"/>
  <c r="W40" i="15"/>
  <c r="Q102" i="15"/>
  <c r="Q100" i="15"/>
  <c r="W26" i="4"/>
  <c r="Q103" i="15"/>
  <c r="Q101" i="15"/>
  <c r="Q99" i="15"/>
  <c r="V27" i="15"/>
  <c r="V44" i="15"/>
  <c r="X66" i="15"/>
  <c r="V104" i="15"/>
  <c r="V102" i="15"/>
  <c r="V103" i="15"/>
  <c r="V99" i="15"/>
  <c r="AA102" i="1"/>
  <c r="Q104" i="15"/>
  <c r="W37" i="15"/>
  <c r="Y64" i="15"/>
  <c r="X40" i="15"/>
  <c r="V101" i="15"/>
  <c r="V100" i="15"/>
  <c r="AA104" i="2"/>
  <c r="Y66" i="15"/>
  <c r="AB62" i="15"/>
  <c r="AC56" i="15"/>
  <c r="Z64" i="15"/>
  <c r="Y40" i="15"/>
  <c r="W27" i="15"/>
  <c r="W44" i="15"/>
  <c r="X37" i="15"/>
  <c r="X27" i="15"/>
  <c r="X44" i="15"/>
  <c r="Z66" i="15"/>
  <c r="AC62" i="15"/>
  <c r="AC65" i="15"/>
  <c r="U98" i="15"/>
  <c r="AB57" i="15"/>
  <c r="AA64" i="15"/>
  <c r="Z40" i="15"/>
  <c r="AB38" i="15"/>
  <c r="Y37" i="15"/>
  <c r="AA66" i="15"/>
  <c r="Y27" i="15"/>
  <c r="Y44" i="15"/>
  <c r="AB64" i="15"/>
  <c r="AA40" i="15"/>
  <c r="AC58" i="15"/>
  <c r="AC64" i="15"/>
  <c r="AB40" i="15"/>
  <c r="AB63" i="15"/>
  <c r="AB66" i="15"/>
  <c r="AC57" i="15"/>
  <c r="AC63" i="15"/>
  <c r="AC66" i="15"/>
  <c r="U103" i="15"/>
  <c r="U101" i="15"/>
  <c r="U99" i="15"/>
  <c r="U102" i="15"/>
  <c r="U100" i="15"/>
  <c r="Z37" i="15"/>
  <c r="Z27" i="15"/>
  <c r="Z44" i="15"/>
  <c r="U104" i="15"/>
  <c r="AA37" i="15"/>
  <c r="AB39" i="15"/>
  <c r="AB37" i="15"/>
  <c r="Y98" i="15"/>
  <c r="AA27" i="15"/>
  <c r="AA44" i="15"/>
  <c r="AB27" i="15"/>
  <c r="AB44" i="15"/>
  <c r="N14" i="2"/>
  <c r="P176" i="2"/>
  <c r="Q176" i="2"/>
  <c r="Q329" i="2" s="1"/>
  <c r="R176" i="2"/>
  <c r="R329" i="2"/>
  <c r="Y27" i="4"/>
  <c r="Y325" i="1"/>
  <c r="R171" i="1"/>
  <c r="R325" i="1"/>
  <c r="W325" i="1"/>
  <c r="N80" i="1"/>
  <c r="N14" i="1"/>
  <c r="N89" i="1"/>
  <c r="R14" i="1"/>
  <c r="T19" i="2"/>
  <c r="P56" i="2"/>
  <c r="T56" i="2" s="1"/>
  <c r="T62" i="2" s="1"/>
  <c r="P62" i="2"/>
  <c r="P59" i="2" s="1"/>
  <c r="P17" i="2" s="1"/>
  <c r="P19" i="2"/>
  <c r="N62" i="2"/>
  <c r="O62" i="2" s="1"/>
  <c r="P63" i="2"/>
  <c r="P61" i="2"/>
  <c r="P60" i="2"/>
  <c r="N54" i="2"/>
  <c r="N63" i="2"/>
  <c r="O63" i="2" s="1"/>
  <c r="N61" i="2"/>
  <c r="W61" i="1"/>
  <c r="T61" i="1"/>
  <c r="T60" i="1" s="1"/>
  <c r="T62" i="1"/>
  <c r="T20" i="1"/>
  <c r="M16" i="1"/>
  <c r="R42" i="1"/>
  <c r="R22" i="1"/>
  <c r="R20" i="1"/>
  <c r="N20" i="1"/>
  <c r="V470" i="14"/>
  <c r="U470" i="14"/>
  <c r="T470" i="14"/>
  <c r="S470" i="14"/>
  <c r="R470" i="14"/>
  <c r="Q470" i="14"/>
  <c r="P470" i="14"/>
  <c r="O470" i="14"/>
  <c r="N470" i="14"/>
  <c r="M470" i="14"/>
  <c r="L470" i="14"/>
  <c r="K470" i="14"/>
  <c r="J470" i="14"/>
  <c r="I470" i="14"/>
  <c r="H470" i="14"/>
  <c r="G470" i="14"/>
  <c r="F470" i="14"/>
  <c r="E470" i="14"/>
  <c r="V464" i="14"/>
  <c r="U464" i="14"/>
  <c r="T464" i="14"/>
  <c r="S464" i="14"/>
  <c r="R464" i="14"/>
  <c r="Q464" i="14"/>
  <c r="P464" i="14"/>
  <c r="O464" i="14"/>
  <c r="N464" i="14"/>
  <c r="M464" i="14"/>
  <c r="L464" i="14"/>
  <c r="K464" i="14"/>
  <c r="J464" i="14"/>
  <c r="I464" i="14"/>
  <c r="H464" i="14"/>
  <c r="G464" i="14"/>
  <c r="F464" i="14"/>
  <c r="E464" i="14"/>
  <c r="V458" i="14"/>
  <c r="V477" i="14"/>
  <c r="V476" i="14"/>
  <c r="U458" i="14"/>
  <c r="U477" i="14"/>
  <c r="U476" i="14"/>
  <c r="T458" i="14"/>
  <c r="T477" i="14"/>
  <c r="T476" i="14"/>
  <c r="S458" i="14"/>
  <c r="S477" i="14"/>
  <c r="S476" i="14"/>
  <c r="R458" i="14"/>
  <c r="R477" i="14"/>
  <c r="R476" i="14"/>
  <c r="Q458" i="14"/>
  <c r="Q477" i="14"/>
  <c r="Q476" i="14"/>
  <c r="P458" i="14"/>
  <c r="P477" i="14"/>
  <c r="P476" i="14"/>
  <c r="O458" i="14"/>
  <c r="O477" i="14"/>
  <c r="O476" i="14"/>
  <c r="N458" i="14"/>
  <c r="N477" i="14"/>
  <c r="N476" i="14"/>
  <c r="M458" i="14"/>
  <c r="M477" i="14"/>
  <c r="M476" i="14"/>
  <c r="L458" i="14"/>
  <c r="L477" i="14"/>
  <c r="L476" i="14"/>
  <c r="K458" i="14"/>
  <c r="K477" i="14"/>
  <c r="K476" i="14"/>
  <c r="J458" i="14"/>
  <c r="J477" i="14"/>
  <c r="J476" i="14"/>
  <c r="I458" i="14"/>
  <c r="I477" i="14"/>
  <c r="I476" i="14"/>
  <c r="H458" i="14"/>
  <c r="H477" i="14"/>
  <c r="H476" i="14"/>
  <c r="G458" i="14"/>
  <c r="G477" i="14"/>
  <c r="G476" i="14"/>
  <c r="F458" i="14"/>
  <c r="F477" i="14"/>
  <c r="E458" i="14"/>
  <c r="E477" i="14"/>
  <c r="E476" i="14"/>
  <c r="V447" i="14"/>
  <c r="U447" i="14"/>
  <c r="T447" i="14"/>
  <c r="S447" i="14"/>
  <c r="R447" i="14"/>
  <c r="Q447" i="14"/>
  <c r="O447" i="14"/>
  <c r="M447" i="14"/>
  <c r="L447" i="14"/>
  <c r="K447" i="14"/>
  <c r="J447" i="14"/>
  <c r="I447" i="14"/>
  <c r="H447" i="14"/>
  <c r="G447" i="14"/>
  <c r="F447" i="14"/>
  <c r="E447" i="14"/>
  <c r="J446" i="14"/>
  <c r="J445" i="14" s="1"/>
  <c r="V445" i="14"/>
  <c r="T445" i="14"/>
  <c r="R445" i="14"/>
  <c r="P445" i="14"/>
  <c r="K445" i="14"/>
  <c r="I445" i="14"/>
  <c r="H445" i="14"/>
  <c r="G445" i="14"/>
  <c r="F445" i="14"/>
  <c r="E445" i="14"/>
  <c r="J444" i="14"/>
  <c r="V441" i="14"/>
  <c r="V452" i="14"/>
  <c r="U441" i="14"/>
  <c r="T441" i="14"/>
  <c r="T452" i="14"/>
  <c r="S441" i="14"/>
  <c r="R441" i="14"/>
  <c r="Q441" i="14"/>
  <c r="P441" i="14"/>
  <c r="O441" i="14"/>
  <c r="N441" i="14"/>
  <c r="N452" i="14"/>
  <c r="M441" i="14"/>
  <c r="L441" i="14"/>
  <c r="K441" i="14"/>
  <c r="K452" i="14"/>
  <c r="J441" i="14"/>
  <c r="I441" i="14"/>
  <c r="I452" i="14"/>
  <c r="H441" i="14"/>
  <c r="H452" i="14"/>
  <c r="G441" i="14"/>
  <c r="G452" i="14"/>
  <c r="F441" i="14"/>
  <c r="F452" i="14"/>
  <c r="E441" i="14"/>
  <c r="E452" i="14"/>
  <c r="L452" i="14"/>
  <c r="J439" i="14"/>
  <c r="V426" i="14"/>
  <c r="U426" i="14"/>
  <c r="T426" i="14"/>
  <c r="S426" i="14"/>
  <c r="R426" i="14"/>
  <c r="Q426" i="14"/>
  <c r="P426" i="14"/>
  <c r="O426" i="14"/>
  <c r="N426" i="14"/>
  <c r="M426" i="14"/>
  <c r="L426" i="14"/>
  <c r="K426" i="14"/>
  <c r="J426" i="14"/>
  <c r="I426" i="14"/>
  <c r="H426" i="14"/>
  <c r="G426" i="14"/>
  <c r="F426" i="14"/>
  <c r="E426" i="14"/>
  <c r="V421" i="14"/>
  <c r="U421" i="14"/>
  <c r="T421" i="14"/>
  <c r="S421" i="14"/>
  <c r="R421" i="14"/>
  <c r="Q421" i="14"/>
  <c r="P421" i="14"/>
  <c r="O421" i="14"/>
  <c r="N421" i="14"/>
  <c r="M421" i="14"/>
  <c r="L421" i="14"/>
  <c r="K421" i="14"/>
  <c r="J421" i="14"/>
  <c r="I421" i="14"/>
  <c r="H421" i="14"/>
  <c r="G421" i="14"/>
  <c r="F421" i="14"/>
  <c r="E421" i="14"/>
  <c r="V417" i="14"/>
  <c r="U417" i="14"/>
  <c r="T417" i="14"/>
  <c r="S417" i="14"/>
  <c r="R417" i="14"/>
  <c r="Q417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V410" i="14"/>
  <c r="V432" i="14"/>
  <c r="U410" i="14"/>
  <c r="U432" i="14"/>
  <c r="T410" i="14"/>
  <c r="T432" i="14"/>
  <c r="S410" i="14"/>
  <c r="S432" i="14"/>
  <c r="R410" i="14"/>
  <c r="R432" i="14"/>
  <c r="Q410" i="14"/>
  <c r="Q432" i="14"/>
  <c r="P410" i="14"/>
  <c r="P432" i="14"/>
  <c r="O410" i="14"/>
  <c r="O432" i="14"/>
  <c r="N410" i="14"/>
  <c r="N432" i="14"/>
  <c r="M410" i="14"/>
  <c r="M432" i="14"/>
  <c r="L410" i="14"/>
  <c r="L432" i="14"/>
  <c r="K410" i="14"/>
  <c r="K432" i="14"/>
  <c r="J410" i="14"/>
  <c r="J432" i="14"/>
  <c r="I410" i="14"/>
  <c r="I432" i="14"/>
  <c r="H410" i="14"/>
  <c r="H432" i="14"/>
  <c r="G410" i="14"/>
  <c r="G432" i="14"/>
  <c r="F410" i="14"/>
  <c r="F432" i="14"/>
  <c r="E410" i="14"/>
  <c r="E432" i="14"/>
  <c r="H388" i="14"/>
  <c r="E387" i="14"/>
  <c r="V381" i="14"/>
  <c r="U381" i="14"/>
  <c r="T381" i="14"/>
  <c r="S381" i="14"/>
  <c r="R381" i="14"/>
  <c r="Q381" i="14"/>
  <c r="P381" i="14"/>
  <c r="O381" i="14"/>
  <c r="N381" i="14"/>
  <c r="M381" i="14"/>
  <c r="L381" i="14"/>
  <c r="K381" i="14"/>
  <c r="J381" i="14"/>
  <c r="I381" i="14"/>
  <c r="H381" i="14"/>
  <c r="G381" i="14"/>
  <c r="F381" i="14"/>
  <c r="E381" i="14"/>
  <c r="G380" i="14"/>
  <c r="I377" i="14"/>
  <c r="I376" i="14"/>
  <c r="K375" i="14"/>
  <c r="J375" i="14"/>
  <c r="J387" i="14"/>
  <c r="I375" i="14"/>
  <c r="I387" i="14"/>
  <c r="H375" i="14"/>
  <c r="H387" i="14"/>
  <c r="G375" i="14"/>
  <c r="G387" i="14"/>
  <c r="F375" i="14"/>
  <c r="F387" i="14"/>
  <c r="V369" i="14"/>
  <c r="U369" i="14"/>
  <c r="T369" i="14"/>
  <c r="S369" i="14"/>
  <c r="R369" i="14"/>
  <c r="Q369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R363" i="14"/>
  <c r="P363" i="14"/>
  <c r="N363" i="14"/>
  <c r="K363" i="14"/>
  <c r="J363" i="14"/>
  <c r="I363" i="14"/>
  <c r="H363" i="14"/>
  <c r="G363" i="14"/>
  <c r="F363" i="14"/>
  <c r="E363" i="14"/>
  <c r="V362" i="14"/>
  <c r="T362" i="14"/>
  <c r="O362" i="14"/>
  <c r="M362" i="14"/>
  <c r="M359" i="14"/>
  <c r="M360" i="14"/>
  <c r="M361" i="14"/>
  <c r="M357" i="14"/>
  <c r="V361" i="14"/>
  <c r="T361" i="14"/>
  <c r="J361" i="14"/>
  <c r="V360" i="14"/>
  <c r="V367" i="14"/>
  <c r="T360" i="14"/>
  <c r="T367" i="14"/>
  <c r="O360" i="14"/>
  <c r="J360" i="14"/>
  <c r="V359" i="14"/>
  <c r="V366" i="14"/>
  <c r="T359" i="14"/>
  <c r="T366" i="14"/>
  <c r="O359" i="14"/>
  <c r="J359" i="14"/>
  <c r="V358" i="14"/>
  <c r="V365" i="14"/>
  <c r="T358" i="14"/>
  <c r="T365" i="14"/>
  <c r="J358" i="14"/>
  <c r="T357" i="14"/>
  <c r="R357" i="14"/>
  <c r="P357" i="14"/>
  <c r="N357" i="14"/>
  <c r="L357" i="14"/>
  <c r="K357" i="14"/>
  <c r="J357" i="14"/>
  <c r="I357" i="14"/>
  <c r="H357" i="14"/>
  <c r="G357" i="14"/>
  <c r="F357" i="14"/>
  <c r="E357" i="14"/>
  <c r="V351" i="14"/>
  <c r="U351" i="14"/>
  <c r="T351" i="14"/>
  <c r="S351" i="14"/>
  <c r="R351" i="14"/>
  <c r="Q351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U345" i="14"/>
  <c r="V345" i="14"/>
  <c r="T345" i="14"/>
  <c r="S345" i="14"/>
  <c r="R345" i="14"/>
  <c r="Q345" i="14"/>
  <c r="P345" i="14"/>
  <c r="O345" i="14"/>
  <c r="N345" i="14"/>
  <c r="M345" i="14"/>
  <c r="L345" i="14"/>
  <c r="K345" i="14"/>
  <c r="J345" i="14"/>
  <c r="I345" i="14"/>
  <c r="H345" i="14"/>
  <c r="G345" i="14"/>
  <c r="F345" i="14"/>
  <c r="E345" i="14"/>
  <c r="U344" i="14"/>
  <c r="U362" i="14"/>
  <c r="S362" i="14"/>
  <c r="Q344" i="14"/>
  <c r="Q362" i="14"/>
  <c r="Q343" i="14"/>
  <c r="Q341" i="14"/>
  <c r="V339" i="14"/>
  <c r="T339" i="14"/>
  <c r="T364" i="14"/>
  <c r="T363" i="14"/>
  <c r="R339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V324" i="14"/>
  <c r="T324" i="14"/>
  <c r="R324" i="14"/>
  <c r="P324" i="14"/>
  <c r="N324" i="14"/>
  <c r="K324" i="14"/>
  <c r="J324" i="14"/>
  <c r="H324" i="14"/>
  <c r="G324" i="14"/>
  <c r="F324" i="14"/>
  <c r="E324" i="14"/>
  <c r="V323" i="14"/>
  <c r="T323" i="14"/>
  <c r="R323" i="14"/>
  <c r="P323" i="14"/>
  <c r="N323" i="14"/>
  <c r="K323" i="14"/>
  <c r="J323" i="14"/>
  <c r="H323" i="14"/>
  <c r="G323" i="14"/>
  <c r="I323" i="14" s="1"/>
  <c r="F323" i="14"/>
  <c r="E323" i="14"/>
  <c r="U322" i="14"/>
  <c r="S322" i="14"/>
  <c r="Q322" i="14"/>
  <c r="O322" i="14"/>
  <c r="M322" i="14"/>
  <c r="L322" i="14"/>
  <c r="L326" i="14"/>
  <c r="O316" i="14"/>
  <c r="Q316" i="14"/>
  <c r="J315" i="14"/>
  <c r="I315" i="14"/>
  <c r="H315" i="14"/>
  <c r="G315" i="14"/>
  <c r="F315" i="14"/>
  <c r="E315" i="14"/>
  <c r="O308" i="14"/>
  <c r="Q308" i="14"/>
  <c r="J308" i="14"/>
  <c r="I308" i="14"/>
  <c r="V307" i="14"/>
  <c r="T307" i="14"/>
  <c r="R307" i="14"/>
  <c r="P307" i="14"/>
  <c r="N307" i="14"/>
  <c r="M326" i="14"/>
  <c r="K307" i="14"/>
  <c r="J307" i="14"/>
  <c r="I307" i="14"/>
  <c r="H307" i="14"/>
  <c r="G307" i="14"/>
  <c r="F307" i="14"/>
  <c r="E307" i="14"/>
  <c r="J297" i="14"/>
  <c r="I297" i="14"/>
  <c r="K297" i="14"/>
  <c r="V292" i="14"/>
  <c r="U292" i="14"/>
  <c r="T292" i="14"/>
  <c r="S292" i="14"/>
  <c r="R292" i="14"/>
  <c r="Q292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V286" i="14"/>
  <c r="V295" i="14"/>
  <c r="V285" i="14"/>
  <c r="U286" i="14"/>
  <c r="U295" i="14"/>
  <c r="U285" i="14"/>
  <c r="T286" i="14"/>
  <c r="T295" i="14"/>
  <c r="T285" i="14"/>
  <c r="S286" i="14"/>
  <c r="S295" i="14"/>
  <c r="S285" i="14"/>
  <c r="R286" i="14"/>
  <c r="R295" i="14"/>
  <c r="R285" i="14"/>
  <c r="Q286" i="14"/>
  <c r="Q295" i="14"/>
  <c r="Q285" i="14"/>
  <c r="P286" i="14"/>
  <c r="P295" i="14"/>
  <c r="P285" i="14"/>
  <c r="O286" i="14"/>
  <c r="O295" i="14"/>
  <c r="O285" i="14"/>
  <c r="N286" i="14"/>
  <c r="N295" i="14"/>
  <c r="N285" i="14"/>
  <c r="M286" i="14"/>
  <c r="M295" i="14"/>
  <c r="M285" i="14"/>
  <c r="L286" i="14"/>
  <c r="L295" i="14"/>
  <c r="K286" i="14"/>
  <c r="K295" i="14"/>
  <c r="K285" i="14"/>
  <c r="J286" i="14"/>
  <c r="J295" i="14"/>
  <c r="J285" i="14"/>
  <c r="I286" i="14"/>
  <c r="I295" i="14"/>
  <c r="I285" i="14"/>
  <c r="H286" i="14"/>
  <c r="H295" i="14"/>
  <c r="H285" i="14"/>
  <c r="G286" i="14"/>
  <c r="G295" i="14"/>
  <c r="G285" i="14"/>
  <c r="F286" i="14"/>
  <c r="F295" i="14"/>
  <c r="F285" i="14"/>
  <c r="E286" i="14"/>
  <c r="E295" i="14"/>
  <c r="E285" i="14"/>
  <c r="J284" i="14"/>
  <c r="I284" i="14"/>
  <c r="K284" i="14"/>
  <c r="V280" i="14"/>
  <c r="V300" i="14"/>
  <c r="U280" i="14"/>
  <c r="T280" i="14"/>
  <c r="S280" i="14"/>
  <c r="R280" i="14"/>
  <c r="Q280" i="14"/>
  <c r="P280" i="14"/>
  <c r="O280" i="14"/>
  <c r="N280" i="14"/>
  <c r="M280" i="14"/>
  <c r="L280" i="14"/>
  <c r="L300" i="14"/>
  <c r="K280" i="14"/>
  <c r="K300" i="14"/>
  <c r="J280" i="14"/>
  <c r="J300" i="14"/>
  <c r="I280" i="14"/>
  <c r="I300" i="14"/>
  <c r="H280" i="14"/>
  <c r="H300" i="14"/>
  <c r="G280" i="14"/>
  <c r="G300" i="14"/>
  <c r="F280" i="14"/>
  <c r="F300" i="14"/>
  <c r="E280" i="14"/>
  <c r="E300" i="14"/>
  <c r="V271" i="14"/>
  <c r="T271" i="14"/>
  <c r="R271" i="14"/>
  <c r="P271" i="14"/>
  <c r="K271" i="14"/>
  <c r="H271" i="14"/>
  <c r="G271" i="14"/>
  <c r="F271" i="14"/>
  <c r="E271" i="14"/>
  <c r="J270" i="14"/>
  <c r="I270" i="14"/>
  <c r="J269" i="14"/>
  <c r="I269" i="14"/>
  <c r="J268" i="14"/>
  <c r="I268" i="14"/>
  <c r="I271" i="14"/>
  <c r="J267" i="14"/>
  <c r="H253" i="14"/>
  <c r="H249" i="14"/>
  <c r="H245" i="14"/>
  <c r="F245" i="14"/>
  <c r="V239" i="14"/>
  <c r="U239" i="14"/>
  <c r="T239" i="14"/>
  <c r="S239" i="14"/>
  <c r="R239" i="14"/>
  <c r="Q239" i="14"/>
  <c r="P239" i="14"/>
  <c r="O239" i="14"/>
  <c r="N239" i="14"/>
  <c r="M239" i="14"/>
  <c r="K239" i="14"/>
  <c r="I239" i="14"/>
  <c r="H239" i="14"/>
  <c r="G239" i="14"/>
  <c r="F239" i="14"/>
  <c r="E239" i="14"/>
  <c r="J237" i="14"/>
  <c r="V235" i="14"/>
  <c r="U235" i="14"/>
  <c r="T235" i="14"/>
  <c r="S235" i="14"/>
  <c r="R235" i="14"/>
  <c r="Q235" i="14"/>
  <c r="P235" i="14"/>
  <c r="O235" i="14"/>
  <c r="N235" i="14"/>
  <c r="M235" i="14"/>
  <c r="K235" i="14"/>
  <c r="J235" i="14"/>
  <c r="I235" i="14"/>
  <c r="H235" i="14"/>
  <c r="G235" i="14"/>
  <c r="F235" i="14"/>
  <c r="E235" i="14"/>
  <c r="L234" i="14"/>
  <c r="V231" i="14"/>
  <c r="V243" i="14"/>
  <c r="U231" i="14"/>
  <c r="U243" i="14"/>
  <c r="T231" i="14"/>
  <c r="T243" i="14"/>
  <c r="S231" i="14"/>
  <c r="S243" i="14"/>
  <c r="R231" i="14"/>
  <c r="R243" i="14"/>
  <c r="Q231" i="14"/>
  <c r="Q243" i="14"/>
  <c r="P231" i="14"/>
  <c r="P243" i="14"/>
  <c r="O231" i="14"/>
  <c r="O243" i="14"/>
  <c r="N231" i="14"/>
  <c r="N243" i="14"/>
  <c r="M231" i="14"/>
  <c r="M243" i="14"/>
  <c r="K231" i="14"/>
  <c r="K243" i="14"/>
  <c r="K255" i="14"/>
  <c r="J231" i="14"/>
  <c r="I231" i="14"/>
  <c r="I243" i="14"/>
  <c r="I255" i="14"/>
  <c r="H231" i="14"/>
  <c r="H243" i="14"/>
  <c r="G231" i="14"/>
  <c r="G243" i="14"/>
  <c r="F231" i="14"/>
  <c r="F243" i="14"/>
  <c r="F255" i="14"/>
  <c r="E231" i="14"/>
  <c r="E243" i="14"/>
  <c r="E255" i="14"/>
  <c r="L230" i="14"/>
  <c r="L231" i="14"/>
  <c r="V225" i="14"/>
  <c r="T225" i="14"/>
  <c r="R225" i="14"/>
  <c r="P225" i="14"/>
  <c r="N225" i="14"/>
  <c r="K225" i="14"/>
  <c r="F225" i="14"/>
  <c r="E225" i="14"/>
  <c r="M224" i="14"/>
  <c r="O224" i="14"/>
  <c r="Q224" i="14"/>
  <c r="S224" i="14"/>
  <c r="U224" i="14"/>
  <c r="H224" i="14"/>
  <c r="H225" i="14"/>
  <c r="G224" i="14"/>
  <c r="I224" i="14"/>
  <c r="J223" i="14"/>
  <c r="J225" i="14"/>
  <c r="I223" i="14"/>
  <c r="L221" i="14"/>
  <c r="K221" i="14"/>
  <c r="J221" i="14"/>
  <c r="H221" i="14"/>
  <c r="G221" i="14"/>
  <c r="F221" i="14"/>
  <c r="E221" i="14"/>
  <c r="I220" i="14"/>
  <c r="I219" i="14"/>
  <c r="V217" i="14"/>
  <c r="V226" i="14"/>
  <c r="V244" i="14"/>
  <c r="T217" i="14"/>
  <c r="T226" i="14"/>
  <c r="T244" i="14"/>
  <c r="R217" i="14"/>
  <c r="R226" i="14"/>
  <c r="R244" i="14"/>
  <c r="P217" i="14"/>
  <c r="P226" i="14"/>
  <c r="P244" i="14"/>
  <c r="N217" i="14"/>
  <c r="N226" i="14"/>
  <c r="N244" i="14"/>
  <c r="K217" i="14"/>
  <c r="K226" i="14"/>
  <c r="J217" i="14"/>
  <c r="J226" i="14"/>
  <c r="H217" i="14"/>
  <c r="H226" i="14"/>
  <c r="H244" i="14"/>
  <c r="G217" i="14"/>
  <c r="F217" i="14"/>
  <c r="F226" i="14"/>
  <c r="F244" i="14"/>
  <c r="E217" i="14"/>
  <c r="E226" i="14"/>
  <c r="E244" i="14"/>
  <c r="I216" i="14"/>
  <c r="M216" i="14"/>
  <c r="O216" i="14"/>
  <c r="Q216" i="14"/>
  <c r="S216" i="14"/>
  <c r="U216" i="14"/>
  <c r="I215" i="14"/>
  <c r="V204" i="14"/>
  <c r="V207" i="14"/>
  <c r="U204" i="14"/>
  <c r="U207" i="14"/>
  <c r="T204" i="14"/>
  <c r="T207" i="14"/>
  <c r="S204" i="14"/>
  <c r="S207" i="14"/>
  <c r="R204" i="14"/>
  <c r="R207" i="14"/>
  <c r="Q204" i="14"/>
  <c r="Q207" i="14"/>
  <c r="P204" i="14"/>
  <c r="P207" i="14"/>
  <c r="O204" i="14"/>
  <c r="O207" i="14"/>
  <c r="N204" i="14"/>
  <c r="N207" i="14"/>
  <c r="M204" i="14"/>
  <c r="M207" i="14"/>
  <c r="L204" i="14"/>
  <c r="L207" i="14"/>
  <c r="K204" i="14"/>
  <c r="K207" i="14"/>
  <c r="J204" i="14"/>
  <c r="J207" i="14"/>
  <c r="I204" i="14"/>
  <c r="I207" i="14"/>
  <c r="H204" i="14"/>
  <c r="H207" i="14"/>
  <c r="G204" i="14"/>
  <c r="G207" i="14"/>
  <c r="F204" i="14"/>
  <c r="F207" i="14"/>
  <c r="E204" i="14"/>
  <c r="E207" i="14"/>
  <c r="V189" i="14"/>
  <c r="T189" i="14"/>
  <c r="R189" i="14"/>
  <c r="P189" i="14"/>
  <c r="N189" i="14"/>
  <c r="I189" i="14"/>
  <c r="F189" i="14"/>
  <c r="E189" i="14"/>
  <c r="U188" i="14"/>
  <c r="K188" i="14"/>
  <c r="H188" i="14"/>
  <c r="H189" i="14"/>
  <c r="G188" i="14"/>
  <c r="G189" i="14"/>
  <c r="L189" i="14"/>
  <c r="K187" i="14"/>
  <c r="K189" i="14"/>
  <c r="J187" i="14"/>
  <c r="J189" i="14"/>
  <c r="V185" i="14"/>
  <c r="T185" i="14"/>
  <c r="R185" i="14"/>
  <c r="P185" i="14"/>
  <c r="N185" i="14"/>
  <c r="L185" i="14"/>
  <c r="J185" i="14"/>
  <c r="I185" i="14"/>
  <c r="F185" i="14"/>
  <c r="E185" i="14"/>
  <c r="K184" i="14"/>
  <c r="H184" i="14"/>
  <c r="H185" i="14"/>
  <c r="G184" i="14"/>
  <c r="G185" i="14"/>
  <c r="K183" i="14"/>
  <c r="K185" i="14"/>
  <c r="V181" i="14"/>
  <c r="V190" i="14"/>
  <c r="U181" i="14"/>
  <c r="T181" i="14"/>
  <c r="T190" i="14"/>
  <c r="R181" i="14"/>
  <c r="R190" i="14"/>
  <c r="P181" i="14"/>
  <c r="P190" i="14"/>
  <c r="N181" i="14"/>
  <c r="R79" i="2"/>
  <c r="L181" i="14"/>
  <c r="L190" i="14"/>
  <c r="I181" i="14"/>
  <c r="I190" i="14"/>
  <c r="F181" i="14"/>
  <c r="F190" i="14"/>
  <c r="E181" i="14"/>
  <c r="E190" i="14"/>
  <c r="K180" i="14"/>
  <c r="J180" i="14"/>
  <c r="J181" i="14"/>
  <c r="J190" i="14"/>
  <c r="H180" i="14"/>
  <c r="H181" i="14"/>
  <c r="H190" i="14"/>
  <c r="G180" i="14"/>
  <c r="G181" i="14"/>
  <c r="G190" i="14"/>
  <c r="K179" i="14"/>
  <c r="K181" i="14"/>
  <c r="K190" i="14"/>
  <c r="V164" i="14"/>
  <c r="V167" i="14"/>
  <c r="U164" i="14"/>
  <c r="U167" i="14"/>
  <c r="T164" i="14"/>
  <c r="T167" i="14"/>
  <c r="S164" i="14"/>
  <c r="S167" i="14"/>
  <c r="R164" i="14"/>
  <c r="R167" i="14"/>
  <c r="Q164" i="14"/>
  <c r="Q167" i="14"/>
  <c r="P164" i="14"/>
  <c r="P167" i="14"/>
  <c r="O164" i="14"/>
  <c r="O167" i="14"/>
  <c r="N164" i="14"/>
  <c r="N167" i="14"/>
  <c r="M164" i="14"/>
  <c r="M167" i="14"/>
  <c r="L164" i="14"/>
  <c r="L167" i="14"/>
  <c r="K164" i="14"/>
  <c r="K167" i="14"/>
  <c r="J164" i="14"/>
  <c r="J167" i="14"/>
  <c r="I164" i="14"/>
  <c r="I167" i="14"/>
  <c r="H164" i="14"/>
  <c r="H167" i="14"/>
  <c r="G164" i="14"/>
  <c r="G167" i="14"/>
  <c r="F164" i="14"/>
  <c r="F167" i="14"/>
  <c r="E164" i="14"/>
  <c r="E167" i="14"/>
  <c r="V149" i="14"/>
  <c r="T149" i="14"/>
  <c r="R149" i="14"/>
  <c r="P149" i="14"/>
  <c r="N149" i="14"/>
  <c r="L149" i="14"/>
  <c r="K149" i="14"/>
  <c r="J149" i="14"/>
  <c r="I149" i="14"/>
  <c r="H149" i="14"/>
  <c r="G149" i="14"/>
  <c r="F149" i="14"/>
  <c r="E149" i="14"/>
  <c r="V146" i="14"/>
  <c r="V150" i="14"/>
  <c r="T146" i="14"/>
  <c r="T150" i="14"/>
  <c r="R146" i="14"/>
  <c r="R150" i="14"/>
  <c r="P146" i="14"/>
  <c r="P150" i="14"/>
  <c r="N146" i="14"/>
  <c r="N150" i="14"/>
  <c r="I146" i="14"/>
  <c r="I150" i="14"/>
  <c r="T77" i="2"/>
  <c r="R77" i="2"/>
  <c r="L150" i="14"/>
  <c r="K145" i="14"/>
  <c r="J145" i="14"/>
  <c r="J146" i="14"/>
  <c r="J150" i="14"/>
  <c r="H145" i="14"/>
  <c r="H146" i="14"/>
  <c r="H150" i="14"/>
  <c r="G145" i="14"/>
  <c r="G146" i="14"/>
  <c r="F145" i="14"/>
  <c r="F146" i="14"/>
  <c r="F150" i="14"/>
  <c r="E145" i="14"/>
  <c r="E146" i="14"/>
  <c r="E150" i="14"/>
  <c r="K144" i="14"/>
  <c r="K146" i="14"/>
  <c r="K150" i="14"/>
  <c r="U140" i="14"/>
  <c r="S140" i="14"/>
  <c r="Q140" i="14"/>
  <c r="O14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V128" i="14"/>
  <c r="U128" i="14"/>
  <c r="T128" i="14"/>
  <c r="R128" i="14"/>
  <c r="Q128" i="14"/>
  <c r="P128" i="14"/>
  <c r="N128" i="14"/>
  <c r="M128" i="14"/>
  <c r="L128" i="14"/>
  <c r="K128" i="14"/>
  <c r="J128" i="14"/>
  <c r="I128" i="14"/>
  <c r="H128" i="14"/>
  <c r="G128" i="14"/>
  <c r="F128" i="14"/>
  <c r="E128" i="14"/>
  <c r="V127" i="14"/>
  <c r="U127" i="14"/>
  <c r="T127" i="14"/>
  <c r="R127" i="14"/>
  <c r="Q127" i="14"/>
  <c r="P127" i="14"/>
  <c r="N127" i="14"/>
  <c r="M127" i="14"/>
  <c r="L127" i="14"/>
  <c r="K127" i="14"/>
  <c r="J127" i="14"/>
  <c r="I127" i="14"/>
  <c r="H127" i="14"/>
  <c r="G127" i="14"/>
  <c r="F127" i="14"/>
  <c r="E127" i="14"/>
  <c r="V126" i="14"/>
  <c r="U126" i="14"/>
  <c r="T126" i="14"/>
  <c r="R126" i="14"/>
  <c r="Q126" i="14"/>
  <c r="P126" i="14"/>
  <c r="N126" i="14"/>
  <c r="M126" i="14"/>
  <c r="L126" i="14"/>
  <c r="K126" i="14"/>
  <c r="J126" i="14"/>
  <c r="I126" i="14"/>
  <c r="H126" i="14"/>
  <c r="G126" i="14"/>
  <c r="F126" i="14"/>
  <c r="E126" i="14"/>
  <c r="V125" i="14"/>
  <c r="U125" i="14"/>
  <c r="T125" i="14"/>
  <c r="R125" i="14"/>
  <c r="Q125" i="14"/>
  <c r="P125" i="14"/>
  <c r="N125" i="14"/>
  <c r="M125" i="14"/>
  <c r="L125" i="14"/>
  <c r="K125" i="14"/>
  <c r="J125" i="14"/>
  <c r="I125" i="14"/>
  <c r="H125" i="14"/>
  <c r="G125" i="14"/>
  <c r="F125" i="14"/>
  <c r="E125" i="14"/>
  <c r="V124" i="14"/>
  <c r="U124" i="14"/>
  <c r="T124" i="14"/>
  <c r="R124" i="14"/>
  <c r="Q124" i="14"/>
  <c r="P124" i="14"/>
  <c r="N124" i="14"/>
  <c r="M124" i="14"/>
  <c r="L124" i="14"/>
  <c r="K124" i="14"/>
  <c r="J124" i="14"/>
  <c r="I124" i="14"/>
  <c r="H124" i="14"/>
  <c r="G124" i="14"/>
  <c r="F124" i="14"/>
  <c r="E124" i="14"/>
  <c r="V123" i="14"/>
  <c r="U123" i="14"/>
  <c r="T123" i="14"/>
  <c r="R123" i="14"/>
  <c r="Q123" i="14"/>
  <c r="P123" i="14"/>
  <c r="N123" i="14"/>
  <c r="M123" i="14"/>
  <c r="L123" i="14"/>
  <c r="K123" i="14"/>
  <c r="J123" i="14"/>
  <c r="I123" i="14"/>
  <c r="H123" i="14"/>
  <c r="G123" i="14"/>
  <c r="F123" i="14"/>
  <c r="E123" i="14"/>
  <c r="V122" i="14"/>
  <c r="U122" i="14"/>
  <c r="T122" i="14"/>
  <c r="R122" i="14"/>
  <c r="Q122" i="14"/>
  <c r="P122" i="14"/>
  <c r="N122" i="14"/>
  <c r="M122" i="14"/>
  <c r="L122" i="14"/>
  <c r="K122" i="14"/>
  <c r="J122" i="14"/>
  <c r="I122" i="14"/>
  <c r="H122" i="14"/>
  <c r="G122" i="14"/>
  <c r="F122" i="14"/>
  <c r="E122" i="14"/>
  <c r="V121" i="14"/>
  <c r="U121" i="14"/>
  <c r="T121" i="14"/>
  <c r="R121" i="14"/>
  <c r="Q121" i="14"/>
  <c r="P121" i="14"/>
  <c r="N121" i="14"/>
  <c r="M121" i="14"/>
  <c r="L121" i="14"/>
  <c r="K121" i="14"/>
  <c r="J121" i="14"/>
  <c r="I121" i="14"/>
  <c r="H121" i="14"/>
  <c r="G121" i="14"/>
  <c r="F121" i="14"/>
  <c r="E121" i="14"/>
  <c r="V120" i="14"/>
  <c r="U120" i="14"/>
  <c r="T120" i="14"/>
  <c r="R120" i="14"/>
  <c r="Q120" i="14"/>
  <c r="P120" i="14"/>
  <c r="N120" i="14"/>
  <c r="M120" i="14"/>
  <c r="L120" i="14"/>
  <c r="K120" i="14"/>
  <c r="J120" i="14"/>
  <c r="I120" i="14"/>
  <c r="H120" i="14"/>
  <c r="G120" i="14"/>
  <c r="F120" i="14"/>
  <c r="E120" i="14"/>
  <c r="V119" i="14"/>
  <c r="U119" i="14"/>
  <c r="T119" i="14"/>
  <c r="R119" i="14"/>
  <c r="Q119" i="14"/>
  <c r="P119" i="14"/>
  <c r="N119" i="14"/>
  <c r="M119" i="14"/>
  <c r="L119" i="14"/>
  <c r="K119" i="14"/>
  <c r="J119" i="14"/>
  <c r="I119" i="14"/>
  <c r="H119" i="14"/>
  <c r="G119" i="14"/>
  <c r="F119" i="14"/>
  <c r="E119" i="14"/>
  <c r="V118" i="14"/>
  <c r="U118" i="14"/>
  <c r="T118" i="14"/>
  <c r="R118" i="14"/>
  <c r="Q118" i="14"/>
  <c r="P118" i="14"/>
  <c r="N118" i="14"/>
  <c r="M118" i="14"/>
  <c r="L118" i="14"/>
  <c r="K118" i="14"/>
  <c r="J118" i="14"/>
  <c r="I118" i="14"/>
  <c r="H118" i="14"/>
  <c r="G118" i="14"/>
  <c r="F118" i="14"/>
  <c r="E118" i="14"/>
  <c r="V117" i="14"/>
  <c r="T117" i="14"/>
  <c r="R117" i="14"/>
  <c r="P117" i="14"/>
  <c r="N117" i="14"/>
  <c r="J117" i="14"/>
  <c r="I117" i="14"/>
  <c r="H117" i="14"/>
  <c r="G117" i="14"/>
  <c r="F117" i="14"/>
  <c r="E117" i="14"/>
  <c r="V116" i="14"/>
  <c r="T116" i="14"/>
  <c r="R116" i="14"/>
  <c r="P116" i="14"/>
  <c r="N116" i="14"/>
  <c r="J116" i="14"/>
  <c r="H116" i="14"/>
  <c r="G116" i="14"/>
  <c r="F116" i="14"/>
  <c r="E116" i="14"/>
  <c r="V115" i="14"/>
  <c r="T115" i="14"/>
  <c r="R115" i="14"/>
  <c r="P115" i="14"/>
  <c r="N115" i="14"/>
  <c r="N113" i="14"/>
  <c r="N131" i="14"/>
  <c r="N134" i="14"/>
  <c r="L115" i="14"/>
  <c r="J115" i="14"/>
  <c r="I115" i="14"/>
  <c r="H115" i="14"/>
  <c r="G115" i="14"/>
  <c r="F115" i="14"/>
  <c r="E115" i="14"/>
  <c r="V114" i="14"/>
  <c r="T114" i="14"/>
  <c r="R114" i="14"/>
  <c r="J114" i="14"/>
  <c r="I114" i="14"/>
  <c r="H114" i="14"/>
  <c r="G114" i="14"/>
  <c r="F114" i="14"/>
  <c r="E114" i="14"/>
  <c r="V113" i="14"/>
  <c r="V131" i="14"/>
  <c r="V134" i="14"/>
  <c r="T113" i="14"/>
  <c r="T131" i="14"/>
  <c r="T134" i="14"/>
  <c r="R113" i="14"/>
  <c r="R131" i="14"/>
  <c r="R134" i="14"/>
  <c r="J113" i="14"/>
  <c r="J131" i="14"/>
  <c r="J134" i="14"/>
  <c r="H113" i="14"/>
  <c r="H131" i="14"/>
  <c r="H134" i="14"/>
  <c r="G113" i="14"/>
  <c r="G131" i="14"/>
  <c r="G134" i="14"/>
  <c r="F113" i="14"/>
  <c r="F131" i="14"/>
  <c r="F133" i="14"/>
  <c r="E113" i="14"/>
  <c r="E131" i="14"/>
  <c r="E134" i="14"/>
  <c r="S110" i="14"/>
  <c r="S128" i="14"/>
  <c r="O110" i="14"/>
  <c r="O128" i="14"/>
  <c r="S109" i="14"/>
  <c r="S127" i="14"/>
  <c r="O109" i="14"/>
  <c r="O127" i="14"/>
  <c r="S108" i="14"/>
  <c r="S126" i="14"/>
  <c r="S125" i="14"/>
  <c r="O108" i="14"/>
  <c r="O126" i="14"/>
  <c r="O125" i="14"/>
  <c r="S106" i="14"/>
  <c r="S124" i="14"/>
  <c r="O106" i="14"/>
  <c r="O124" i="14"/>
  <c r="S105" i="14"/>
  <c r="S123" i="14"/>
  <c r="O105" i="14"/>
  <c r="O123" i="14"/>
  <c r="O104" i="14"/>
  <c r="O122" i="14"/>
  <c r="O103" i="14"/>
  <c r="O121" i="14"/>
  <c r="S102" i="14"/>
  <c r="S120" i="14"/>
  <c r="O102" i="14"/>
  <c r="O120" i="14"/>
  <c r="O100" i="14"/>
  <c r="O98" i="14"/>
  <c r="O118" i="14"/>
  <c r="K97" i="14"/>
  <c r="K117" i="14"/>
  <c r="K96" i="14"/>
  <c r="K95" i="14"/>
  <c r="K115" i="14"/>
  <c r="K94" i="14"/>
  <c r="K114" i="14"/>
  <c r="V86" i="14"/>
  <c r="V107" i="14"/>
  <c r="U86" i="14"/>
  <c r="U107" i="14"/>
  <c r="T86" i="14"/>
  <c r="T107" i="14"/>
  <c r="S86" i="14"/>
  <c r="R86" i="14"/>
  <c r="R107" i="14"/>
  <c r="Q86" i="14"/>
  <c r="Q107" i="14"/>
  <c r="P86" i="14"/>
  <c r="O86" i="14"/>
  <c r="M107" i="14"/>
  <c r="O107" i="14"/>
  <c r="L86" i="14"/>
  <c r="L107" i="14"/>
  <c r="K86" i="14"/>
  <c r="K107" i="14"/>
  <c r="J86" i="14"/>
  <c r="J107" i="14"/>
  <c r="I86" i="14"/>
  <c r="I107" i="14"/>
  <c r="H86" i="14"/>
  <c r="H107" i="14"/>
  <c r="G86" i="14"/>
  <c r="G107" i="14"/>
  <c r="F86" i="14"/>
  <c r="F107" i="14"/>
  <c r="E86" i="14"/>
  <c r="E107" i="14"/>
  <c r="V80" i="14"/>
  <c r="V101" i="14"/>
  <c r="U80" i="14"/>
  <c r="U101" i="14"/>
  <c r="T80" i="14"/>
  <c r="T101" i="14"/>
  <c r="S80" i="14"/>
  <c r="R80" i="14"/>
  <c r="R101" i="14"/>
  <c r="Q80" i="14"/>
  <c r="Q101" i="14"/>
  <c r="P80" i="14"/>
  <c r="O80" i="14"/>
  <c r="M101" i="14"/>
  <c r="O101" i="14"/>
  <c r="L80" i="14"/>
  <c r="L101" i="14"/>
  <c r="K80" i="14"/>
  <c r="K101" i="14"/>
  <c r="J80" i="14"/>
  <c r="J101" i="14"/>
  <c r="I80" i="14"/>
  <c r="I101" i="14"/>
  <c r="H80" i="14"/>
  <c r="H101" i="14"/>
  <c r="G80" i="14"/>
  <c r="G101" i="14"/>
  <c r="F80" i="14"/>
  <c r="F101" i="14"/>
  <c r="E80" i="14"/>
  <c r="E101" i="14"/>
  <c r="L117" i="14"/>
  <c r="L116" i="14"/>
  <c r="K76" i="14"/>
  <c r="K116" i="14"/>
  <c r="I76" i="14"/>
  <c r="I116" i="14"/>
  <c r="I113" i="14"/>
  <c r="I131" i="14"/>
  <c r="I134" i="14"/>
  <c r="L114" i="14"/>
  <c r="V73" i="14"/>
  <c r="V99" i="14"/>
  <c r="T73" i="14"/>
  <c r="T99" i="14"/>
  <c r="R73" i="14"/>
  <c r="R99" i="14"/>
  <c r="P73" i="14"/>
  <c r="P66" i="14"/>
  <c r="N73" i="14"/>
  <c r="K73" i="14"/>
  <c r="J73" i="14"/>
  <c r="J99" i="14"/>
  <c r="I73" i="14"/>
  <c r="I99" i="14"/>
  <c r="H73" i="14"/>
  <c r="H99" i="14"/>
  <c r="G73" i="14"/>
  <c r="G99" i="14"/>
  <c r="F73" i="14"/>
  <c r="F99" i="14"/>
  <c r="E73" i="14"/>
  <c r="E99" i="14"/>
  <c r="V71" i="14"/>
  <c r="T71" i="14"/>
  <c r="R71" i="14"/>
  <c r="J71" i="14"/>
  <c r="I71" i="14"/>
  <c r="H71" i="14"/>
  <c r="G71" i="14"/>
  <c r="F71" i="14"/>
  <c r="E71" i="14"/>
  <c r="V66" i="14"/>
  <c r="T66" i="14"/>
  <c r="R66" i="14"/>
  <c r="K66" i="14"/>
  <c r="J66" i="14"/>
  <c r="J57" i="14"/>
  <c r="R14" i="2"/>
  <c r="I57" i="14"/>
  <c r="K57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V51" i="14"/>
  <c r="V57" i="14"/>
  <c r="U51" i="14"/>
  <c r="T51" i="14"/>
  <c r="T57" i="14"/>
  <c r="S51" i="14"/>
  <c r="R51" i="14"/>
  <c r="R57" i="14"/>
  <c r="Q51" i="14"/>
  <c r="P51" i="14"/>
  <c r="P57" i="14"/>
  <c r="O51" i="14"/>
  <c r="N51" i="14"/>
  <c r="N57" i="14"/>
  <c r="M51" i="14"/>
  <c r="L51" i="14"/>
  <c r="K51" i="14"/>
  <c r="J51" i="14"/>
  <c r="I51" i="14"/>
  <c r="H51" i="14"/>
  <c r="G51" i="14"/>
  <c r="F51" i="14"/>
  <c r="E51" i="14"/>
  <c r="O47" i="14"/>
  <c r="Q47" i="14"/>
  <c r="S47" i="14"/>
  <c r="U47" i="14"/>
  <c r="I47" i="14"/>
  <c r="K47" i="14"/>
  <c r="H46" i="14"/>
  <c r="G46" i="14"/>
  <c r="I46" i="14"/>
  <c r="F46" i="14"/>
  <c r="E46" i="14"/>
  <c r="V45" i="14"/>
  <c r="T45" i="14"/>
  <c r="R45" i="14"/>
  <c r="P45" i="14"/>
  <c r="N45" i="14"/>
  <c r="L45" i="14"/>
  <c r="J45" i="14"/>
  <c r="H45" i="14"/>
  <c r="G45" i="14"/>
  <c r="F45" i="14"/>
  <c r="E45" i="14"/>
  <c r="I44" i="14"/>
  <c r="K44" i="14"/>
  <c r="H43" i="14"/>
  <c r="G43" i="14"/>
  <c r="I43" i="14"/>
  <c r="F43" i="14"/>
  <c r="E43" i="14"/>
  <c r="V42" i="14"/>
  <c r="T42" i="14"/>
  <c r="R42" i="14"/>
  <c r="P42" i="14"/>
  <c r="N42" i="14"/>
  <c r="L42" i="14"/>
  <c r="J42" i="14"/>
  <c r="H42" i="14"/>
  <c r="G42" i="14"/>
  <c r="F42" i="14"/>
  <c r="E42" i="14"/>
  <c r="I41" i="14"/>
  <c r="K41" i="14"/>
  <c r="H40" i="14"/>
  <c r="G40" i="14"/>
  <c r="I40" i="14"/>
  <c r="V39" i="14"/>
  <c r="V49" i="14"/>
  <c r="V58" i="14"/>
  <c r="T39" i="14"/>
  <c r="T49" i="14"/>
  <c r="T58" i="14"/>
  <c r="R39" i="14"/>
  <c r="R49" i="14"/>
  <c r="R58" i="14"/>
  <c r="P39" i="14"/>
  <c r="P58" i="14"/>
  <c r="N39" i="14"/>
  <c r="N58" i="14"/>
  <c r="L39" i="14"/>
  <c r="J39" i="14"/>
  <c r="J49" i="14"/>
  <c r="J58" i="14"/>
  <c r="H39" i="14"/>
  <c r="H49" i="14"/>
  <c r="H58" i="14"/>
  <c r="G39" i="14"/>
  <c r="G49" i="14"/>
  <c r="G58" i="14"/>
  <c r="F39" i="14"/>
  <c r="F49" i="14"/>
  <c r="F58" i="14"/>
  <c r="E39" i="14"/>
  <c r="E49" i="14"/>
  <c r="E58" i="14"/>
  <c r="N29" i="14"/>
  <c r="G29" i="14"/>
  <c r="F29" i="14"/>
  <c r="E29" i="14"/>
  <c r="H27" i="14"/>
  <c r="N26" i="14"/>
  <c r="G26" i="14"/>
  <c r="F26" i="14"/>
  <c r="E26" i="14"/>
  <c r="N23" i="14"/>
  <c r="G23" i="14"/>
  <c r="F23" i="14"/>
  <c r="E23" i="14"/>
  <c r="N20" i="14"/>
  <c r="G20" i="14"/>
  <c r="F20" i="14"/>
  <c r="E20" i="14"/>
  <c r="G17" i="14"/>
  <c r="F17" i="14"/>
  <c r="E17" i="14"/>
  <c r="I15" i="14"/>
  <c r="K15" i="14"/>
  <c r="G14" i="14"/>
  <c r="I14" i="14"/>
  <c r="F14" i="14"/>
  <c r="E14" i="14"/>
  <c r="V13" i="14"/>
  <c r="V35" i="14"/>
  <c r="N13" i="14"/>
  <c r="H37" i="14"/>
  <c r="G13" i="14"/>
  <c r="G35" i="14"/>
  <c r="F13" i="14"/>
  <c r="F35" i="14"/>
  <c r="E13" i="14"/>
  <c r="E35" i="14"/>
  <c r="K471" i="13"/>
  <c r="J471" i="13"/>
  <c r="I471" i="13"/>
  <c r="H471" i="13"/>
  <c r="G471" i="13"/>
  <c r="F471" i="13"/>
  <c r="E471" i="13"/>
  <c r="V465" i="13"/>
  <c r="U465" i="13"/>
  <c r="T465" i="13"/>
  <c r="S465" i="13"/>
  <c r="R465" i="13"/>
  <c r="Q465" i="13"/>
  <c r="P465" i="13"/>
  <c r="O465" i="13"/>
  <c r="N465" i="13"/>
  <c r="M465" i="13"/>
  <c r="L465" i="13"/>
  <c r="K465" i="13"/>
  <c r="J465" i="13"/>
  <c r="I465" i="13"/>
  <c r="H465" i="13"/>
  <c r="G465" i="13"/>
  <c r="F465" i="13"/>
  <c r="E465" i="13"/>
  <c r="J461" i="13"/>
  <c r="J459" i="13" s="1"/>
  <c r="J474" i="13" s="1"/>
  <c r="V459" i="13"/>
  <c r="U459" i="13"/>
  <c r="T459" i="13"/>
  <c r="S459" i="13"/>
  <c r="R459" i="13"/>
  <c r="Q459" i="13"/>
  <c r="P459" i="13"/>
  <c r="O459" i="13"/>
  <c r="N459" i="13"/>
  <c r="M459" i="13"/>
  <c r="L459" i="13"/>
  <c r="K459" i="13"/>
  <c r="I459" i="13"/>
  <c r="H459" i="13"/>
  <c r="G459" i="13"/>
  <c r="F459" i="13"/>
  <c r="E459" i="13"/>
  <c r="V453" i="13"/>
  <c r="V474" i="13"/>
  <c r="U453" i="13"/>
  <c r="U474" i="13"/>
  <c r="T453" i="13"/>
  <c r="T474" i="13"/>
  <c r="S453" i="13"/>
  <c r="S474" i="13"/>
  <c r="R453" i="13"/>
  <c r="R474" i="13"/>
  <c r="Q453" i="13"/>
  <c r="Q474" i="13"/>
  <c r="P453" i="13"/>
  <c r="P474" i="13"/>
  <c r="O453" i="13"/>
  <c r="O474" i="13"/>
  <c r="N453" i="13"/>
  <c r="N474" i="13"/>
  <c r="M453" i="13"/>
  <c r="L453" i="13"/>
  <c r="K453" i="13"/>
  <c r="K474" i="13"/>
  <c r="J453" i="13"/>
  <c r="I453" i="13"/>
  <c r="I474" i="13"/>
  <c r="H453" i="13"/>
  <c r="H474" i="13"/>
  <c r="G453" i="13"/>
  <c r="G474" i="13"/>
  <c r="F453" i="13"/>
  <c r="F474" i="13"/>
  <c r="E453" i="13"/>
  <c r="J443" i="13"/>
  <c r="J442" i="13" s="1"/>
  <c r="V442" i="13"/>
  <c r="T442" i="13"/>
  <c r="R442" i="13"/>
  <c r="R447" i="13" s="1"/>
  <c r="P442" i="13"/>
  <c r="O442" i="13"/>
  <c r="M442" i="13"/>
  <c r="L442" i="13"/>
  <c r="K442" i="13"/>
  <c r="I442" i="13"/>
  <c r="H442" i="13"/>
  <c r="G442" i="13"/>
  <c r="F442" i="13"/>
  <c r="E442" i="13"/>
  <c r="J438" i="13"/>
  <c r="J437" i="13" s="1"/>
  <c r="V437" i="13"/>
  <c r="T437" i="13"/>
  <c r="R437" i="13"/>
  <c r="P437" i="13"/>
  <c r="L437" i="13"/>
  <c r="K437" i="13"/>
  <c r="I437" i="13"/>
  <c r="H437" i="13"/>
  <c r="G437" i="13"/>
  <c r="F437" i="13"/>
  <c r="E437" i="13"/>
  <c r="J436" i="13"/>
  <c r="V433" i="13"/>
  <c r="T433" i="13"/>
  <c r="R433" i="13"/>
  <c r="P433" i="13"/>
  <c r="O433" i="13"/>
  <c r="L433" i="13"/>
  <c r="K433" i="13"/>
  <c r="K447" i="13"/>
  <c r="J433" i="13"/>
  <c r="I433" i="13"/>
  <c r="I447" i="13"/>
  <c r="H433" i="13"/>
  <c r="H447" i="13"/>
  <c r="G433" i="13"/>
  <c r="G447" i="13"/>
  <c r="F433" i="13"/>
  <c r="F447" i="13"/>
  <c r="E433" i="13"/>
  <c r="E447" i="13"/>
  <c r="U447" i="13"/>
  <c r="J431" i="13"/>
  <c r="V418" i="13"/>
  <c r="U418" i="13"/>
  <c r="T418" i="13"/>
  <c r="S418" i="13"/>
  <c r="R418" i="13"/>
  <c r="Q418" i="13"/>
  <c r="P418" i="13"/>
  <c r="O418" i="13"/>
  <c r="N418" i="13"/>
  <c r="M418" i="13"/>
  <c r="L418" i="13"/>
  <c r="K418" i="13"/>
  <c r="J418" i="13"/>
  <c r="I418" i="13"/>
  <c r="H418" i="13"/>
  <c r="G418" i="13"/>
  <c r="F418" i="13"/>
  <c r="E418" i="13"/>
  <c r="V413" i="13"/>
  <c r="U413" i="13"/>
  <c r="T413" i="13"/>
  <c r="S413" i="13"/>
  <c r="R413" i="13"/>
  <c r="Q413" i="13"/>
  <c r="P413" i="13"/>
  <c r="O413" i="13"/>
  <c r="N413" i="13"/>
  <c r="M413" i="13"/>
  <c r="L413" i="13"/>
  <c r="K413" i="13"/>
  <c r="J413" i="13"/>
  <c r="I413" i="13"/>
  <c r="H413" i="13"/>
  <c r="G413" i="13"/>
  <c r="F413" i="13"/>
  <c r="E413" i="13"/>
  <c r="V409" i="13"/>
  <c r="U409" i="13"/>
  <c r="T409" i="13"/>
  <c r="S409" i="13"/>
  <c r="R409" i="13"/>
  <c r="Q409" i="13"/>
  <c r="P409" i="13"/>
  <c r="O409" i="13"/>
  <c r="N409" i="13"/>
  <c r="M409" i="13"/>
  <c r="L409" i="13"/>
  <c r="K409" i="13"/>
  <c r="J409" i="13"/>
  <c r="I409" i="13"/>
  <c r="H409" i="13"/>
  <c r="G409" i="13"/>
  <c r="F409" i="13"/>
  <c r="E409" i="13"/>
  <c r="V402" i="13"/>
  <c r="V424" i="13"/>
  <c r="U402" i="13"/>
  <c r="U424" i="13"/>
  <c r="T402" i="13"/>
  <c r="T424" i="13"/>
  <c r="S402" i="13"/>
  <c r="S424" i="13"/>
  <c r="R402" i="13"/>
  <c r="R424" i="13"/>
  <c r="Q402" i="13"/>
  <c r="Q424" i="13"/>
  <c r="P402" i="13"/>
  <c r="P424" i="13"/>
  <c r="O402" i="13"/>
  <c r="O424" i="13"/>
  <c r="N402" i="13"/>
  <c r="N424" i="13"/>
  <c r="M402" i="13"/>
  <c r="M424" i="13"/>
  <c r="L402" i="13"/>
  <c r="L424" i="13"/>
  <c r="K402" i="13"/>
  <c r="K424" i="13"/>
  <c r="J402" i="13"/>
  <c r="J424" i="13"/>
  <c r="I402" i="13"/>
  <c r="I424" i="13"/>
  <c r="H402" i="13"/>
  <c r="H424" i="13"/>
  <c r="G402" i="13"/>
  <c r="G424" i="13"/>
  <c r="F402" i="13"/>
  <c r="F424" i="13"/>
  <c r="E402" i="13"/>
  <c r="E424" i="13"/>
  <c r="J394" i="13"/>
  <c r="J391" i="13"/>
  <c r="V383" i="13"/>
  <c r="U383" i="13"/>
  <c r="T383" i="13"/>
  <c r="S383" i="13"/>
  <c r="R383" i="13"/>
  <c r="Q383" i="13"/>
  <c r="P383" i="13"/>
  <c r="O383" i="13"/>
  <c r="N383" i="13"/>
  <c r="M383" i="13"/>
  <c r="L383" i="13"/>
  <c r="K383" i="13"/>
  <c r="J383" i="13"/>
  <c r="I383" i="13"/>
  <c r="H383" i="13"/>
  <c r="G383" i="13"/>
  <c r="F383" i="13"/>
  <c r="E383" i="13"/>
  <c r="K379" i="13"/>
  <c r="I379" i="13"/>
  <c r="V377" i="13"/>
  <c r="V389" i="13"/>
  <c r="V393" i="13"/>
  <c r="V396" i="13"/>
  <c r="U377" i="13"/>
  <c r="U393" i="13"/>
  <c r="U396" i="13"/>
  <c r="T377" i="13"/>
  <c r="T389" i="13"/>
  <c r="T393" i="13"/>
  <c r="T396" i="13"/>
  <c r="S377" i="13"/>
  <c r="S389" i="13"/>
  <c r="S393" i="13"/>
  <c r="S396" i="13"/>
  <c r="R377" i="13"/>
  <c r="R389" i="13"/>
  <c r="R393" i="13"/>
  <c r="R396" i="13"/>
  <c r="Q377" i="13"/>
  <c r="Q393" i="13"/>
  <c r="Q396" i="13"/>
  <c r="P377" i="13"/>
  <c r="P393" i="13"/>
  <c r="P396" i="13" s="1"/>
  <c r="O377" i="13"/>
  <c r="O389" i="13"/>
  <c r="N377" i="13"/>
  <c r="N393" i="13"/>
  <c r="M389" i="13"/>
  <c r="M393" i="13"/>
  <c r="M396" i="13"/>
  <c r="L377" i="13"/>
  <c r="L389" i="13"/>
  <c r="K377" i="13"/>
  <c r="K389" i="13"/>
  <c r="K393" i="13"/>
  <c r="J377" i="13"/>
  <c r="J389" i="13"/>
  <c r="J393" i="13"/>
  <c r="I377" i="13"/>
  <c r="I389" i="13"/>
  <c r="H377" i="13"/>
  <c r="H389" i="13"/>
  <c r="G377" i="13"/>
  <c r="G389" i="13"/>
  <c r="F377" i="13"/>
  <c r="F389" i="13"/>
  <c r="E377" i="13"/>
  <c r="V371" i="13"/>
  <c r="U371" i="13"/>
  <c r="T371" i="13"/>
  <c r="S371" i="13"/>
  <c r="R371" i="13"/>
  <c r="Q371" i="13"/>
  <c r="P371" i="13"/>
  <c r="O371" i="13"/>
  <c r="N371" i="13"/>
  <c r="M371" i="13"/>
  <c r="L371" i="13"/>
  <c r="K371" i="13"/>
  <c r="J371" i="13"/>
  <c r="I371" i="13"/>
  <c r="H371" i="13"/>
  <c r="G371" i="13"/>
  <c r="F371" i="13"/>
  <c r="E371" i="13"/>
  <c r="V365" i="13"/>
  <c r="T365" i="13"/>
  <c r="R365" i="13"/>
  <c r="Q365" i="13"/>
  <c r="P365" i="13"/>
  <c r="O365" i="13"/>
  <c r="N365" i="13"/>
  <c r="M365" i="13"/>
  <c r="K365" i="13"/>
  <c r="J365" i="13"/>
  <c r="I365" i="13"/>
  <c r="H365" i="13"/>
  <c r="G365" i="13"/>
  <c r="F365" i="13"/>
  <c r="E365" i="13"/>
  <c r="V364" i="13"/>
  <c r="T364" i="13"/>
  <c r="R364" i="13"/>
  <c r="P364" i="13"/>
  <c r="N364" i="13"/>
  <c r="V363" i="13"/>
  <c r="T363" i="13"/>
  <c r="R363" i="13"/>
  <c r="P363" i="13"/>
  <c r="N363" i="13"/>
  <c r="O345" i="13"/>
  <c r="O363" i="13"/>
  <c r="Q345" i="13"/>
  <c r="Q363" i="13"/>
  <c r="S345" i="13"/>
  <c r="U345" i="13"/>
  <c r="U363" i="13"/>
  <c r="V362" i="13"/>
  <c r="T362" i="13"/>
  <c r="R362" i="13"/>
  <c r="P362" i="13"/>
  <c r="N362" i="13"/>
  <c r="O362" i="13"/>
  <c r="Q344" i="13"/>
  <c r="Q362" i="13"/>
  <c r="S344" i="13"/>
  <c r="U344" i="13"/>
  <c r="U362" i="13"/>
  <c r="V361" i="13"/>
  <c r="T361" i="13"/>
  <c r="R361" i="13"/>
  <c r="P361" i="13"/>
  <c r="N361" i="13"/>
  <c r="V360" i="13"/>
  <c r="T360" i="13"/>
  <c r="T359" i="13"/>
  <c r="R360" i="13"/>
  <c r="P360" i="13"/>
  <c r="P359" i="13"/>
  <c r="N360" i="13"/>
  <c r="V359" i="13"/>
  <c r="R359" i="13"/>
  <c r="N359" i="13"/>
  <c r="L359" i="13"/>
  <c r="K359" i="13"/>
  <c r="J359" i="13"/>
  <c r="I359" i="13"/>
  <c r="H359" i="13"/>
  <c r="G359" i="13"/>
  <c r="F359" i="13"/>
  <c r="E359" i="13"/>
  <c r="V353" i="13"/>
  <c r="U353" i="13"/>
  <c r="T353" i="13"/>
  <c r="S353" i="13"/>
  <c r="R353" i="13"/>
  <c r="Q353" i="13"/>
  <c r="P353" i="13"/>
  <c r="O353" i="13"/>
  <c r="N353" i="13"/>
  <c r="M353" i="13"/>
  <c r="L353" i="13"/>
  <c r="K353" i="13"/>
  <c r="J353" i="13"/>
  <c r="I353" i="13"/>
  <c r="H353" i="13"/>
  <c r="G353" i="13"/>
  <c r="F353" i="13"/>
  <c r="E353" i="13"/>
  <c r="V347" i="13"/>
  <c r="U347" i="13"/>
  <c r="T347" i="13"/>
  <c r="S347" i="13"/>
  <c r="R347" i="13"/>
  <c r="Q347" i="13"/>
  <c r="P347" i="13"/>
  <c r="O347" i="13"/>
  <c r="N347" i="13"/>
  <c r="M347" i="13"/>
  <c r="L347" i="13"/>
  <c r="K347" i="13"/>
  <c r="J347" i="13"/>
  <c r="I347" i="13"/>
  <c r="H347" i="13"/>
  <c r="G347" i="13"/>
  <c r="F347" i="13"/>
  <c r="E347" i="13"/>
  <c r="O364" i="13"/>
  <c r="Q346" i="13"/>
  <c r="Q364" i="13"/>
  <c r="S346" i="13"/>
  <c r="U346" i="13"/>
  <c r="V341" i="13"/>
  <c r="T341" i="13"/>
  <c r="R341" i="13"/>
  <c r="P341" i="13"/>
  <c r="N341" i="13"/>
  <c r="L341" i="13"/>
  <c r="K341" i="13"/>
  <c r="J341" i="13"/>
  <c r="I341" i="13"/>
  <c r="H341" i="13"/>
  <c r="G341" i="13"/>
  <c r="F341" i="13"/>
  <c r="E341" i="13"/>
  <c r="H326" i="13"/>
  <c r="G326" i="13"/>
  <c r="F326" i="13"/>
  <c r="E326" i="13"/>
  <c r="V325" i="13"/>
  <c r="V324" i="13" s="1"/>
  <c r="V328" i="13" s="1"/>
  <c r="U325" i="13"/>
  <c r="U326" i="13" s="1"/>
  <c r="U324" i="13" s="1"/>
  <c r="U328" i="13" s="1"/>
  <c r="T325" i="13"/>
  <c r="T326" i="13" s="1"/>
  <c r="S325" i="13"/>
  <c r="S326" i="13" s="1"/>
  <c r="S324" i="13" s="1"/>
  <c r="S328" i="13" s="1"/>
  <c r="R325" i="13"/>
  <c r="R326" i="13" s="1"/>
  <c r="Q324" i="13"/>
  <c r="P325" i="13"/>
  <c r="P326" i="13" s="1"/>
  <c r="O326" i="13"/>
  <c r="O324" i="13"/>
  <c r="N325" i="13"/>
  <c r="N326" i="13" s="1"/>
  <c r="N324" i="13" s="1"/>
  <c r="N328" i="13" s="1"/>
  <c r="M326" i="13"/>
  <c r="M324" i="13"/>
  <c r="L324" i="13"/>
  <c r="K325" i="13"/>
  <c r="K326" i="13" s="1"/>
  <c r="K324" i="13" s="1"/>
  <c r="K328" i="13" s="1"/>
  <c r="J325" i="13"/>
  <c r="J326" i="13" s="1"/>
  <c r="I325" i="13"/>
  <c r="I326" i="13"/>
  <c r="I324" i="13"/>
  <c r="H324" i="13"/>
  <c r="G324" i="13"/>
  <c r="F324" i="13"/>
  <c r="E324" i="13"/>
  <c r="N317" i="13"/>
  <c r="L317" i="13"/>
  <c r="K317" i="13"/>
  <c r="J317" i="13"/>
  <c r="H317" i="13"/>
  <c r="G317" i="13"/>
  <c r="I317" i="13"/>
  <c r="F317" i="13"/>
  <c r="E317" i="13"/>
  <c r="O328" i="13"/>
  <c r="L310" i="13"/>
  <c r="J310" i="13"/>
  <c r="I310" i="13"/>
  <c r="K309" i="13"/>
  <c r="J309" i="13"/>
  <c r="I309" i="13"/>
  <c r="I328" i="13"/>
  <c r="H309" i="13"/>
  <c r="H328" i="13"/>
  <c r="G309" i="13"/>
  <c r="G328" i="13"/>
  <c r="F309" i="13"/>
  <c r="F328" i="13"/>
  <c r="E309" i="13"/>
  <c r="E328" i="13"/>
  <c r="J301" i="13"/>
  <c r="I301" i="13"/>
  <c r="I298" i="13"/>
  <c r="V293" i="13"/>
  <c r="U293" i="13"/>
  <c r="T293" i="13"/>
  <c r="S293" i="13"/>
  <c r="R293" i="13"/>
  <c r="Q293" i="13"/>
  <c r="P293" i="13"/>
  <c r="O293" i="13"/>
  <c r="N293" i="13"/>
  <c r="M293" i="13"/>
  <c r="L293" i="13"/>
  <c r="K293" i="13"/>
  <c r="J293" i="13"/>
  <c r="I293" i="13"/>
  <c r="H293" i="13"/>
  <c r="G293" i="13"/>
  <c r="F293" i="13"/>
  <c r="E293" i="13"/>
  <c r="V290" i="13"/>
  <c r="U290" i="13"/>
  <c r="T290" i="13"/>
  <c r="S290" i="13"/>
  <c r="R290" i="13"/>
  <c r="Q290" i="13"/>
  <c r="P290" i="13"/>
  <c r="O290" i="13"/>
  <c r="N290" i="13"/>
  <c r="M290" i="13"/>
  <c r="L290" i="13"/>
  <c r="K290" i="13"/>
  <c r="J290" i="13"/>
  <c r="I290" i="13"/>
  <c r="H290" i="13"/>
  <c r="G290" i="13"/>
  <c r="F290" i="13"/>
  <c r="E290" i="13"/>
  <c r="V287" i="13"/>
  <c r="V296" i="13"/>
  <c r="V286" i="13"/>
  <c r="U287" i="13"/>
  <c r="U296" i="13"/>
  <c r="U286" i="13"/>
  <c r="T287" i="13"/>
  <c r="T296" i="13"/>
  <c r="T286" i="13"/>
  <c r="S287" i="13"/>
  <c r="S296" i="13"/>
  <c r="S286" i="13"/>
  <c r="R287" i="13"/>
  <c r="R296" i="13"/>
  <c r="R286" i="13"/>
  <c r="Q287" i="13"/>
  <c r="Q296" i="13"/>
  <c r="Q286" i="13"/>
  <c r="P287" i="13"/>
  <c r="P296" i="13"/>
  <c r="P286" i="13"/>
  <c r="O287" i="13"/>
  <c r="O296" i="13"/>
  <c r="O286" i="13"/>
  <c r="N287" i="13"/>
  <c r="N296" i="13"/>
  <c r="N286" i="13"/>
  <c r="M287" i="13"/>
  <c r="M296" i="13"/>
  <c r="M286" i="13"/>
  <c r="L287" i="13"/>
  <c r="L296" i="13"/>
  <c r="L286" i="13"/>
  <c r="K287" i="13"/>
  <c r="K296" i="13"/>
  <c r="K286" i="13"/>
  <c r="J287" i="13"/>
  <c r="J296" i="13"/>
  <c r="J286" i="13"/>
  <c r="I287" i="13"/>
  <c r="I296" i="13"/>
  <c r="I286" i="13"/>
  <c r="H287" i="13"/>
  <c r="H296" i="13"/>
  <c r="H286" i="13"/>
  <c r="G287" i="13"/>
  <c r="G296" i="13"/>
  <c r="G286" i="13"/>
  <c r="F287" i="13"/>
  <c r="F296" i="13"/>
  <c r="F286" i="13"/>
  <c r="E287" i="13"/>
  <c r="E296" i="13"/>
  <c r="E286" i="13"/>
  <c r="J285" i="13"/>
  <c r="I285" i="13"/>
  <c r="V281" i="13"/>
  <c r="V302" i="13"/>
  <c r="U281" i="13"/>
  <c r="T281" i="13"/>
  <c r="T302" i="13"/>
  <c r="S281" i="13"/>
  <c r="R281" i="13"/>
  <c r="R302" i="13"/>
  <c r="Q281" i="13"/>
  <c r="P281" i="13"/>
  <c r="P302" i="13"/>
  <c r="O281" i="13"/>
  <c r="N281" i="13"/>
  <c r="M281" i="13"/>
  <c r="L281" i="13"/>
  <c r="L302" i="13"/>
  <c r="K281" i="13"/>
  <c r="K302" i="13"/>
  <c r="J281" i="13"/>
  <c r="J302" i="13"/>
  <c r="I281" i="13"/>
  <c r="I302" i="13"/>
  <c r="H281" i="13"/>
  <c r="H302" i="13"/>
  <c r="G281" i="13"/>
  <c r="G302" i="13"/>
  <c r="F281" i="13"/>
  <c r="F302" i="13"/>
  <c r="E281" i="13"/>
  <c r="E302" i="13"/>
  <c r="P272" i="13"/>
  <c r="K272" i="13"/>
  <c r="H272" i="13"/>
  <c r="G272" i="13"/>
  <c r="F272" i="13"/>
  <c r="E272" i="13"/>
  <c r="V272" i="13"/>
  <c r="T272" i="13"/>
  <c r="R272" i="13"/>
  <c r="J270" i="13"/>
  <c r="J269" i="13"/>
  <c r="Q272" i="13"/>
  <c r="J268" i="13"/>
  <c r="I268" i="13"/>
  <c r="I272" i="13"/>
  <c r="J267" i="13"/>
  <c r="V251" i="13"/>
  <c r="V254" i="13"/>
  <c r="U251" i="13"/>
  <c r="U254" i="13"/>
  <c r="T251" i="13"/>
  <c r="T254" i="13"/>
  <c r="S251" i="13"/>
  <c r="S254" i="13"/>
  <c r="R251" i="13"/>
  <c r="R254" i="13"/>
  <c r="Q251" i="13"/>
  <c r="Q254" i="13"/>
  <c r="P251" i="13"/>
  <c r="P254" i="13"/>
  <c r="O251" i="13"/>
  <c r="O254" i="13"/>
  <c r="N251" i="13"/>
  <c r="N254" i="13"/>
  <c r="M251" i="13"/>
  <c r="M254" i="13"/>
  <c r="L251" i="13"/>
  <c r="L254" i="13"/>
  <c r="K251" i="13"/>
  <c r="K254" i="13"/>
  <c r="J251" i="13"/>
  <c r="J254" i="13"/>
  <c r="I251" i="13"/>
  <c r="I254" i="13"/>
  <c r="H251" i="13"/>
  <c r="H254" i="13"/>
  <c r="G251" i="13"/>
  <c r="G254" i="13"/>
  <c r="F251" i="13"/>
  <c r="F254" i="13"/>
  <c r="E251" i="13"/>
  <c r="E254" i="13"/>
  <c r="V244" i="13"/>
  <c r="V247" i="13"/>
  <c r="V255" i="13"/>
  <c r="U244" i="13"/>
  <c r="U247" i="13"/>
  <c r="U255" i="13"/>
  <c r="T244" i="13"/>
  <c r="T247" i="13"/>
  <c r="T255" i="13"/>
  <c r="S244" i="13"/>
  <c r="S247" i="13"/>
  <c r="S255" i="13"/>
  <c r="R244" i="13"/>
  <c r="R247" i="13"/>
  <c r="R255" i="13"/>
  <c r="Q244" i="13"/>
  <c r="Q247" i="13"/>
  <c r="Q255" i="13"/>
  <c r="P244" i="13"/>
  <c r="P247" i="13"/>
  <c r="P255" i="13"/>
  <c r="O244" i="13"/>
  <c r="O247" i="13"/>
  <c r="O255" i="13"/>
  <c r="N244" i="13"/>
  <c r="N247" i="13"/>
  <c r="N255" i="13"/>
  <c r="M244" i="13"/>
  <c r="M247" i="13"/>
  <c r="M255" i="13"/>
  <c r="L244" i="13"/>
  <c r="L247" i="13"/>
  <c r="L255" i="13"/>
  <c r="K244" i="13"/>
  <c r="K247" i="13"/>
  <c r="K255" i="13"/>
  <c r="J244" i="13"/>
  <c r="J247" i="13"/>
  <c r="J255" i="13"/>
  <c r="I244" i="13"/>
  <c r="I247" i="13"/>
  <c r="I255" i="13"/>
  <c r="H244" i="13"/>
  <c r="H247" i="13"/>
  <c r="H255" i="13"/>
  <c r="G244" i="13"/>
  <c r="G247" i="13"/>
  <c r="G255" i="13"/>
  <c r="F244" i="13"/>
  <c r="F247" i="13"/>
  <c r="F255" i="13"/>
  <c r="E244" i="13"/>
  <c r="E247" i="13"/>
  <c r="E255" i="13"/>
  <c r="L233" i="13"/>
  <c r="J233" i="13"/>
  <c r="I233" i="13"/>
  <c r="H233" i="13"/>
  <c r="G233" i="13"/>
  <c r="E233" i="13"/>
  <c r="K232" i="13"/>
  <c r="F232" i="13"/>
  <c r="F233" i="13"/>
  <c r="K231" i="13"/>
  <c r="K233" i="13"/>
  <c r="L229" i="13"/>
  <c r="L234" i="13"/>
  <c r="J229" i="13"/>
  <c r="J234" i="13"/>
  <c r="H229" i="13"/>
  <c r="H234" i="13"/>
  <c r="F229" i="13"/>
  <c r="F234" i="13"/>
  <c r="E229" i="13"/>
  <c r="E234" i="13"/>
  <c r="I228" i="13"/>
  <c r="I229" i="13"/>
  <c r="I234" i="13"/>
  <c r="G228" i="13"/>
  <c r="G229" i="13"/>
  <c r="G234" i="13"/>
  <c r="K227" i="13"/>
  <c r="J214" i="13"/>
  <c r="E214" i="13"/>
  <c r="H213" i="13"/>
  <c r="H214" i="13"/>
  <c r="G213" i="13"/>
  <c r="G214" i="13"/>
  <c r="F213" i="13"/>
  <c r="F214" i="13"/>
  <c r="I212" i="13"/>
  <c r="K212" i="13"/>
  <c r="J210" i="13"/>
  <c r="H209" i="13"/>
  <c r="H210" i="13"/>
  <c r="G209" i="13"/>
  <c r="G210" i="13"/>
  <c r="F209" i="13"/>
  <c r="F210" i="13"/>
  <c r="E209" i="13"/>
  <c r="E210" i="13"/>
  <c r="I208" i="13"/>
  <c r="K208" i="13"/>
  <c r="V206" i="13"/>
  <c r="V215" i="13"/>
  <c r="T206" i="13"/>
  <c r="T215" i="13"/>
  <c r="R206" i="13"/>
  <c r="R215" i="13"/>
  <c r="P206" i="13"/>
  <c r="P215" i="13"/>
  <c r="N206" i="13"/>
  <c r="N215" i="13"/>
  <c r="J206" i="13"/>
  <c r="J215" i="13"/>
  <c r="R80" i="1"/>
  <c r="H205" i="13"/>
  <c r="H206" i="13"/>
  <c r="G205" i="13"/>
  <c r="G206" i="13"/>
  <c r="G215" i="13"/>
  <c r="F205" i="13"/>
  <c r="F206" i="13"/>
  <c r="F215" i="13"/>
  <c r="E205" i="13"/>
  <c r="E206" i="13"/>
  <c r="E215" i="13"/>
  <c r="I204" i="13"/>
  <c r="V189" i="13"/>
  <c r="V192" i="13"/>
  <c r="U189" i="13"/>
  <c r="U192" i="13"/>
  <c r="T189" i="13"/>
  <c r="T192" i="13"/>
  <c r="S189" i="13"/>
  <c r="S192" i="13"/>
  <c r="R189" i="13"/>
  <c r="R192" i="13"/>
  <c r="Q189" i="13"/>
  <c r="Q192" i="13"/>
  <c r="P189" i="13"/>
  <c r="P192" i="13"/>
  <c r="O189" i="13"/>
  <c r="O192" i="13"/>
  <c r="N189" i="13"/>
  <c r="N192" i="13"/>
  <c r="M189" i="13"/>
  <c r="M192" i="13"/>
  <c r="L189" i="13"/>
  <c r="L192" i="13"/>
  <c r="K189" i="13"/>
  <c r="K192" i="13"/>
  <c r="J189" i="13"/>
  <c r="J192" i="13"/>
  <c r="I189" i="13"/>
  <c r="I192" i="13"/>
  <c r="H189" i="13"/>
  <c r="H192" i="13"/>
  <c r="G189" i="13"/>
  <c r="G192" i="13"/>
  <c r="F189" i="13"/>
  <c r="F192" i="13"/>
  <c r="E189" i="13"/>
  <c r="E192" i="13"/>
  <c r="V174" i="13"/>
  <c r="T174" i="13"/>
  <c r="R174" i="13"/>
  <c r="P174" i="13"/>
  <c r="N174" i="13"/>
  <c r="L174" i="13"/>
  <c r="K174" i="13"/>
  <c r="J174" i="13"/>
  <c r="I174" i="13"/>
  <c r="H174" i="13"/>
  <c r="G174" i="13"/>
  <c r="F174" i="13"/>
  <c r="E174" i="13"/>
  <c r="V171" i="13"/>
  <c r="V175" i="13"/>
  <c r="T171" i="13"/>
  <c r="T175" i="13"/>
  <c r="R171" i="13"/>
  <c r="R175" i="13"/>
  <c r="P171" i="13"/>
  <c r="P175" i="13"/>
  <c r="N171" i="13"/>
  <c r="N175" i="13"/>
  <c r="L171" i="13"/>
  <c r="L175" i="13"/>
  <c r="J171" i="13"/>
  <c r="J175" i="13"/>
  <c r="I171" i="13"/>
  <c r="I175" i="13"/>
  <c r="H171" i="13"/>
  <c r="H175" i="13"/>
  <c r="G171" i="13"/>
  <c r="G175" i="13"/>
  <c r="K170" i="13"/>
  <c r="F170" i="13"/>
  <c r="F171" i="13"/>
  <c r="F175" i="13"/>
  <c r="E170" i="13"/>
  <c r="E171" i="13"/>
  <c r="E175" i="13"/>
  <c r="K169" i="13"/>
  <c r="K171" i="13"/>
  <c r="K175" i="13"/>
  <c r="V157" i="13"/>
  <c r="U157" i="13"/>
  <c r="T157" i="13"/>
  <c r="S157" i="13"/>
  <c r="R157" i="13"/>
  <c r="Q157" i="13"/>
  <c r="P157" i="13"/>
  <c r="O157" i="13"/>
  <c r="M157" i="13"/>
  <c r="L157" i="13"/>
  <c r="K157" i="13"/>
  <c r="J157" i="13"/>
  <c r="I157" i="13"/>
  <c r="H157" i="13"/>
  <c r="G157" i="13"/>
  <c r="F157" i="13"/>
  <c r="E157" i="13"/>
  <c r="V156" i="13"/>
  <c r="U156" i="13"/>
  <c r="T156" i="13"/>
  <c r="S156" i="13"/>
  <c r="R156" i="13"/>
  <c r="Q156" i="13"/>
  <c r="P156" i="13"/>
  <c r="O156" i="13"/>
  <c r="M156" i="13"/>
  <c r="L156" i="13"/>
  <c r="K156" i="13"/>
  <c r="J156" i="13"/>
  <c r="I156" i="13"/>
  <c r="H156" i="13"/>
  <c r="G156" i="13"/>
  <c r="F156" i="13"/>
  <c r="E156" i="13"/>
  <c r="V155" i="13"/>
  <c r="U155" i="13"/>
  <c r="T155" i="13"/>
  <c r="S155" i="13"/>
  <c r="R155" i="13"/>
  <c r="Q155" i="13"/>
  <c r="P155" i="13"/>
  <c r="O155" i="13"/>
  <c r="M155" i="13"/>
  <c r="L155" i="13"/>
  <c r="K155" i="13"/>
  <c r="J155" i="13"/>
  <c r="I155" i="13"/>
  <c r="H155" i="13"/>
  <c r="G155" i="13"/>
  <c r="F155" i="13"/>
  <c r="E155" i="13"/>
  <c r="V154" i="13"/>
  <c r="U154" i="13"/>
  <c r="T154" i="13"/>
  <c r="S154" i="13"/>
  <c r="R154" i="13"/>
  <c r="Q154" i="13"/>
  <c r="P154" i="13"/>
  <c r="O154" i="13"/>
  <c r="M154" i="13"/>
  <c r="L154" i="13"/>
  <c r="K154" i="13"/>
  <c r="J154" i="13"/>
  <c r="I154" i="13"/>
  <c r="H154" i="13"/>
  <c r="G154" i="13"/>
  <c r="F154" i="13"/>
  <c r="E154" i="13"/>
  <c r="V153" i="13"/>
  <c r="U153" i="13"/>
  <c r="T153" i="13"/>
  <c r="S153" i="13"/>
  <c r="R153" i="13"/>
  <c r="Q153" i="13"/>
  <c r="P153" i="13"/>
  <c r="O153" i="13"/>
  <c r="M153" i="13"/>
  <c r="L153" i="13"/>
  <c r="K153" i="13"/>
  <c r="J153" i="13"/>
  <c r="I153" i="13"/>
  <c r="H153" i="13"/>
  <c r="G153" i="13"/>
  <c r="F153" i="13"/>
  <c r="E153" i="13"/>
  <c r="V152" i="13"/>
  <c r="U152" i="13"/>
  <c r="T152" i="13"/>
  <c r="S152" i="13"/>
  <c r="R152" i="13"/>
  <c r="Q152" i="13"/>
  <c r="P152" i="13"/>
  <c r="O152" i="13"/>
  <c r="M152" i="13"/>
  <c r="L152" i="13"/>
  <c r="K152" i="13"/>
  <c r="J152" i="13"/>
  <c r="I152" i="13"/>
  <c r="H152" i="13"/>
  <c r="G152" i="13"/>
  <c r="F152" i="13"/>
  <c r="E152" i="13"/>
  <c r="V151" i="13"/>
  <c r="U151" i="13"/>
  <c r="T151" i="13"/>
  <c r="S151" i="13"/>
  <c r="R151" i="13"/>
  <c r="Q151" i="13"/>
  <c r="P151" i="13"/>
  <c r="O151" i="13"/>
  <c r="M151" i="13"/>
  <c r="L151" i="13"/>
  <c r="K151" i="13"/>
  <c r="J151" i="13"/>
  <c r="I151" i="13"/>
  <c r="H151" i="13"/>
  <c r="G151" i="13"/>
  <c r="F151" i="13"/>
  <c r="E151" i="13"/>
  <c r="V150" i="13"/>
  <c r="U150" i="13"/>
  <c r="T150" i="13"/>
  <c r="S150" i="13"/>
  <c r="R150" i="13"/>
  <c r="Q150" i="13"/>
  <c r="P150" i="13"/>
  <c r="O150" i="13"/>
  <c r="M150" i="13"/>
  <c r="L150" i="13"/>
  <c r="K150" i="13"/>
  <c r="J150" i="13"/>
  <c r="I150" i="13"/>
  <c r="H150" i="13"/>
  <c r="G150" i="13"/>
  <c r="F150" i="13"/>
  <c r="E150" i="13"/>
  <c r="V149" i="13"/>
  <c r="U149" i="13"/>
  <c r="T149" i="13"/>
  <c r="S149" i="13"/>
  <c r="R149" i="13"/>
  <c r="Q149" i="13"/>
  <c r="P149" i="13"/>
  <c r="O149" i="13"/>
  <c r="M149" i="13"/>
  <c r="L149" i="13"/>
  <c r="K149" i="13"/>
  <c r="J149" i="13"/>
  <c r="I149" i="13"/>
  <c r="H149" i="13"/>
  <c r="G149" i="13"/>
  <c r="F149" i="13"/>
  <c r="E149" i="13"/>
  <c r="V148" i="13"/>
  <c r="U148" i="13"/>
  <c r="T148" i="13"/>
  <c r="S148" i="13"/>
  <c r="R148" i="13"/>
  <c r="Q148" i="13"/>
  <c r="P148" i="13"/>
  <c r="O148" i="13"/>
  <c r="M148" i="13"/>
  <c r="L148" i="13"/>
  <c r="K148" i="13"/>
  <c r="J148" i="13"/>
  <c r="I148" i="13"/>
  <c r="H148" i="13"/>
  <c r="G148" i="13"/>
  <c r="F148" i="13"/>
  <c r="E148" i="13"/>
  <c r="V147" i="13"/>
  <c r="U147" i="13"/>
  <c r="T147" i="13"/>
  <c r="S147" i="13"/>
  <c r="R147" i="13"/>
  <c r="Q147" i="13"/>
  <c r="P147" i="13"/>
  <c r="O147" i="13"/>
  <c r="M147" i="13"/>
  <c r="L147" i="13"/>
  <c r="K147" i="13"/>
  <c r="J147" i="13"/>
  <c r="I147" i="13"/>
  <c r="H147" i="13"/>
  <c r="G147" i="13"/>
  <c r="F147" i="13"/>
  <c r="E147" i="13"/>
  <c r="V146" i="13"/>
  <c r="U146" i="13"/>
  <c r="T146" i="13"/>
  <c r="S146" i="13"/>
  <c r="R146" i="13"/>
  <c r="Q146" i="13"/>
  <c r="P146" i="13"/>
  <c r="O146" i="13"/>
  <c r="M146" i="13"/>
  <c r="L146" i="13"/>
  <c r="K146" i="13"/>
  <c r="J146" i="13"/>
  <c r="I146" i="13"/>
  <c r="H146" i="13"/>
  <c r="G146" i="13"/>
  <c r="F146" i="13"/>
  <c r="E146" i="13"/>
  <c r="V145" i="13"/>
  <c r="U145" i="13"/>
  <c r="T145" i="13"/>
  <c r="S145" i="13"/>
  <c r="R145" i="13"/>
  <c r="Q145" i="13"/>
  <c r="P145" i="13"/>
  <c r="O145" i="13"/>
  <c r="M145" i="13"/>
  <c r="L145" i="13"/>
  <c r="K145" i="13"/>
  <c r="J145" i="13"/>
  <c r="I145" i="13"/>
  <c r="H145" i="13"/>
  <c r="G145" i="13"/>
  <c r="F145" i="13"/>
  <c r="E145" i="13"/>
  <c r="V144" i="13"/>
  <c r="U144" i="13"/>
  <c r="T144" i="13"/>
  <c r="S144" i="13"/>
  <c r="R144" i="13"/>
  <c r="Q144" i="13"/>
  <c r="P144" i="13"/>
  <c r="O144" i="13"/>
  <c r="M144" i="13"/>
  <c r="L144" i="13"/>
  <c r="K144" i="13"/>
  <c r="J144" i="13"/>
  <c r="I144" i="13"/>
  <c r="H144" i="13"/>
  <c r="G144" i="13"/>
  <c r="F144" i="13"/>
  <c r="E144" i="13"/>
  <c r="V143" i="13"/>
  <c r="U143" i="13"/>
  <c r="T143" i="13"/>
  <c r="S143" i="13"/>
  <c r="R143" i="13"/>
  <c r="Q143" i="13"/>
  <c r="P143" i="13"/>
  <c r="O143" i="13"/>
  <c r="M143" i="13"/>
  <c r="L143" i="13"/>
  <c r="K143" i="13"/>
  <c r="J143" i="13"/>
  <c r="I143" i="13"/>
  <c r="H143" i="13"/>
  <c r="G143" i="13"/>
  <c r="F143" i="13"/>
  <c r="E143" i="13"/>
  <c r="V142" i="13"/>
  <c r="T142" i="13"/>
  <c r="R142" i="13"/>
  <c r="J142" i="13"/>
  <c r="I142" i="13"/>
  <c r="H142" i="13"/>
  <c r="G142" i="13"/>
  <c r="F142" i="13"/>
  <c r="E142" i="13"/>
  <c r="V141" i="13"/>
  <c r="T141" i="13"/>
  <c r="T140" i="13"/>
  <c r="R141" i="13"/>
  <c r="J141" i="13"/>
  <c r="I141" i="13"/>
  <c r="H141" i="13"/>
  <c r="G141" i="13"/>
  <c r="F141" i="13"/>
  <c r="E141" i="13"/>
  <c r="V140" i="13"/>
  <c r="V158" i="13"/>
  <c r="R140" i="13"/>
  <c r="R158" i="13"/>
  <c r="J140" i="13"/>
  <c r="J158" i="13"/>
  <c r="I140" i="13"/>
  <c r="I158" i="13"/>
  <c r="H140" i="13"/>
  <c r="H158" i="13"/>
  <c r="G140" i="13"/>
  <c r="G158" i="13"/>
  <c r="F140" i="13"/>
  <c r="F158" i="13"/>
  <c r="E140" i="13"/>
  <c r="E158" i="13"/>
  <c r="K122" i="13"/>
  <c r="K121" i="13"/>
  <c r="V113" i="13"/>
  <c r="V134" i="13"/>
  <c r="U113" i="13"/>
  <c r="U134" i="13"/>
  <c r="T113" i="13"/>
  <c r="T134" i="13"/>
  <c r="S113" i="13"/>
  <c r="S134" i="13"/>
  <c r="R113" i="13"/>
  <c r="R134" i="13"/>
  <c r="Q113" i="13"/>
  <c r="Q134" i="13"/>
  <c r="P113" i="13"/>
  <c r="P134" i="13"/>
  <c r="O113" i="13"/>
  <c r="O134" i="13"/>
  <c r="N113" i="13"/>
  <c r="N134" i="13"/>
  <c r="M113" i="13"/>
  <c r="M134" i="13"/>
  <c r="L113" i="13"/>
  <c r="L134" i="13"/>
  <c r="K113" i="13"/>
  <c r="K134" i="13"/>
  <c r="J113" i="13"/>
  <c r="J134" i="13"/>
  <c r="I113" i="13"/>
  <c r="I134" i="13"/>
  <c r="H113" i="13"/>
  <c r="H134" i="13"/>
  <c r="G113" i="13"/>
  <c r="G134" i="13"/>
  <c r="F113" i="13"/>
  <c r="F134" i="13"/>
  <c r="E113" i="13"/>
  <c r="E134" i="13"/>
  <c r="V107" i="13"/>
  <c r="V128" i="13"/>
  <c r="U107" i="13"/>
  <c r="U128" i="13"/>
  <c r="T107" i="13"/>
  <c r="T128" i="13"/>
  <c r="S107" i="13"/>
  <c r="S128" i="13"/>
  <c r="R107" i="13"/>
  <c r="R128" i="13"/>
  <c r="Q107" i="13"/>
  <c r="Q128" i="13"/>
  <c r="P107" i="13"/>
  <c r="P128" i="13"/>
  <c r="O107" i="13"/>
  <c r="O128" i="13"/>
  <c r="N107" i="13"/>
  <c r="N128" i="13"/>
  <c r="M107" i="13"/>
  <c r="M128" i="13"/>
  <c r="L107" i="13"/>
  <c r="L128" i="13"/>
  <c r="K107" i="13"/>
  <c r="K128" i="13"/>
  <c r="J107" i="13"/>
  <c r="J128" i="13"/>
  <c r="I107" i="13"/>
  <c r="I128" i="13"/>
  <c r="H107" i="13"/>
  <c r="H128" i="13"/>
  <c r="G107" i="13"/>
  <c r="G128" i="13"/>
  <c r="F107" i="13"/>
  <c r="F128" i="13"/>
  <c r="E107" i="13"/>
  <c r="E128" i="13"/>
  <c r="L142" i="13"/>
  <c r="K102" i="13"/>
  <c r="K142" i="13"/>
  <c r="L141" i="13"/>
  <c r="L140" i="13"/>
  <c r="K101" i="13"/>
  <c r="K141" i="13"/>
  <c r="K140" i="13"/>
  <c r="V100" i="13"/>
  <c r="V126" i="13"/>
  <c r="T100" i="13"/>
  <c r="T126" i="13"/>
  <c r="R100" i="13"/>
  <c r="R126" i="13"/>
  <c r="N100" i="13"/>
  <c r="N126" i="13"/>
  <c r="L100" i="13"/>
  <c r="K100" i="13"/>
  <c r="J100" i="13"/>
  <c r="J126" i="13"/>
  <c r="I100" i="13"/>
  <c r="I126" i="13"/>
  <c r="H100" i="13"/>
  <c r="H126" i="13"/>
  <c r="G100" i="13"/>
  <c r="G126" i="13"/>
  <c r="F100" i="13"/>
  <c r="F126" i="13"/>
  <c r="E100" i="13"/>
  <c r="E126" i="13"/>
  <c r="V98" i="13"/>
  <c r="R98" i="13"/>
  <c r="N98" i="13"/>
  <c r="N93" i="13"/>
  <c r="J98" i="13"/>
  <c r="I98" i="13"/>
  <c r="H98" i="13"/>
  <c r="G98" i="13"/>
  <c r="F98" i="13"/>
  <c r="E98" i="13"/>
  <c r="V93" i="13"/>
  <c r="R93" i="13"/>
  <c r="J93" i="13"/>
  <c r="J85" i="13"/>
  <c r="I85" i="13"/>
  <c r="K85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E79" i="13"/>
  <c r="V78" i="13"/>
  <c r="V84" i="13"/>
  <c r="U78" i="13"/>
  <c r="U84" i="13"/>
  <c r="T78" i="13"/>
  <c r="T84" i="13"/>
  <c r="S78" i="13"/>
  <c r="S84" i="13"/>
  <c r="R78" i="13"/>
  <c r="R84" i="13"/>
  <c r="Q78" i="13"/>
  <c r="Q84" i="13"/>
  <c r="P78" i="13"/>
  <c r="P84" i="13"/>
  <c r="O78" i="13"/>
  <c r="O84" i="13"/>
  <c r="N78" i="13"/>
  <c r="N84" i="13"/>
  <c r="M78" i="13"/>
  <c r="M84" i="13"/>
  <c r="L78" i="13"/>
  <c r="L84" i="13"/>
  <c r="K78" i="13"/>
  <c r="K84" i="13"/>
  <c r="J78" i="13"/>
  <c r="J84" i="13"/>
  <c r="I78" i="13"/>
  <c r="I84" i="13"/>
  <c r="H78" i="13"/>
  <c r="H84" i="13"/>
  <c r="G78" i="13"/>
  <c r="G84" i="13"/>
  <c r="F78" i="13"/>
  <c r="F84" i="13"/>
  <c r="E78" i="13"/>
  <c r="E84" i="13"/>
  <c r="K75" i="13"/>
  <c r="H74" i="13"/>
  <c r="G74" i="13"/>
  <c r="I74" i="13"/>
  <c r="F74" i="13"/>
  <c r="E74" i="13"/>
  <c r="P73" i="13"/>
  <c r="N73" i="13"/>
  <c r="L73" i="13"/>
  <c r="J73" i="13"/>
  <c r="H73" i="13"/>
  <c r="G73" i="13"/>
  <c r="F73" i="13"/>
  <c r="E73" i="13"/>
  <c r="I72" i="13"/>
  <c r="K72" i="13"/>
  <c r="H71" i="13"/>
  <c r="G71" i="13"/>
  <c r="I71" i="13"/>
  <c r="F71" i="13"/>
  <c r="E71" i="13"/>
  <c r="P70" i="13"/>
  <c r="N70" i="13"/>
  <c r="L70" i="13"/>
  <c r="J70" i="13"/>
  <c r="H70" i="13"/>
  <c r="G70" i="13"/>
  <c r="F70" i="13"/>
  <c r="E70" i="13"/>
  <c r="I69" i="13"/>
  <c r="K69" i="13"/>
  <c r="H68" i="13"/>
  <c r="G68" i="13"/>
  <c r="I68" i="13"/>
  <c r="F68" i="13"/>
  <c r="E68" i="13"/>
  <c r="P67" i="13"/>
  <c r="N67" i="13"/>
  <c r="L67" i="13"/>
  <c r="L76" i="13"/>
  <c r="J67" i="13"/>
  <c r="J76" i="13"/>
  <c r="H67" i="13"/>
  <c r="H76" i="13"/>
  <c r="G67" i="13"/>
  <c r="G76" i="13"/>
  <c r="F67" i="13"/>
  <c r="F76" i="13"/>
  <c r="E67" i="13"/>
  <c r="E76" i="13"/>
  <c r="J56" i="13"/>
  <c r="I56" i="13"/>
  <c r="H56" i="13"/>
  <c r="G56" i="13"/>
  <c r="F56" i="13"/>
  <c r="E56" i="13"/>
  <c r="V55" i="13"/>
  <c r="U55" i="13"/>
  <c r="T55" i="13"/>
  <c r="S55" i="13"/>
  <c r="R55" i="13"/>
  <c r="Q55" i="13"/>
  <c r="P55" i="13"/>
  <c r="O55" i="13"/>
  <c r="N55" i="13"/>
  <c r="L55" i="13"/>
  <c r="K55" i="13"/>
  <c r="J53" i="13"/>
  <c r="I53" i="13"/>
  <c r="H53" i="13"/>
  <c r="G53" i="13"/>
  <c r="F53" i="13"/>
  <c r="E53" i="13"/>
  <c r="V52" i="13"/>
  <c r="U52" i="13"/>
  <c r="T52" i="13"/>
  <c r="S52" i="13"/>
  <c r="R52" i="13"/>
  <c r="Q52" i="13"/>
  <c r="P52" i="13"/>
  <c r="O52" i="13"/>
  <c r="N52" i="13"/>
  <c r="L52" i="13"/>
  <c r="K52" i="13"/>
  <c r="J50" i="13"/>
  <c r="I50" i="13"/>
  <c r="H50" i="13"/>
  <c r="G50" i="13"/>
  <c r="F50" i="13"/>
  <c r="E50" i="13"/>
  <c r="V49" i="13"/>
  <c r="U49" i="13"/>
  <c r="T49" i="13"/>
  <c r="S49" i="13"/>
  <c r="R49" i="13"/>
  <c r="Q49" i="13"/>
  <c r="P49" i="13"/>
  <c r="O49" i="13"/>
  <c r="N49" i="13"/>
  <c r="L49" i="13"/>
  <c r="K49" i="13"/>
  <c r="I47" i="13"/>
  <c r="H47" i="13"/>
  <c r="G47" i="13"/>
  <c r="F47" i="13"/>
  <c r="E47" i="13"/>
  <c r="V46" i="13"/>
  <c r="U46" i="13"/>
  <c r="T46" i="13"/>
  <c r="S46" i="13"/>
  <c r="R46" i="13"/>
  <c r="Q46" i="13"/>
  <c r="P46" i="13"/>
  <c r="O46" i="13"/>
  <c r="N46" i="13"/>
  <c r="K46" i="13"/>
  <c r="J46" i="13"/>
  <c r="I45" i="13"/>
  <c r="K45" i="13"/>
  <c r="J44" i="13"/>
  <c r="H44" i="13"/>
  <c r="G44" i="13"/>
  <c r="I44" i="13"/>
  <c r="F44" i="13"/>
  <c r="V43" i="13"/>
  <c r="U43" i="13"/>
  <c r="T43" i="13"/>
  <c r="S43" i="13"/>
  <c r="R43" i="13"/>
  <c r="Q43" i="13"/>
  <c r="P43" i="13"/>
  <c r="O43" i="13"/>
  <c r="N43" i="13"/>
  <c r="L43" i="13"/>
  <c r="H43" i="13"/>
  <c r="G43" i="13"/>
  <c r="I42" i="13"/>
  <c r="K42" i="13"/>
  <c r="H41" i="13"/>
  <c r="G41" i="13"/>
  <c r="I41" i="13"/>
  <c r="V40" i="13"/>
  <c r="T40" i="13"/>
  <c r="S40" i="13"/>
  <c r="R40" i="13"/>
  <c r="Q40" i="13"/>
  <c r="P40" i="13"/>
  <c r="O40" i="13"/>
  <c r="N40" i="13"/>
  <c r="L40" i="13"/>
  <c r="J40" i="13"/>
  <c r="H40" i="13"/>
  <c r="G40" i="13"/>
  <c r="F40" i="13"/>
  <c r="I39" i="13"/>
  <c r="K39" i="13"/>
  <c r="H38" i="13"/>
  <c r="G38" i="13"/>
  <c r="I38" i="13"/>
  <c r="F38" i="13"/>
  <c r="E38" i="13"/>
  <c r="V37" i="13"/>
  <c r="U37" i="13"/>
  <c r="T37" i="13"/>
  <c r="S37" i="13"/>
  <c r="R37" i="13"/>
  <c r="Q37" i="13"/>
  <c r="P37" i="13"/>
  <c r="N37" i="13"/>
  <c r="L37" i="13"/>
  <c r="J37" i="13"/>
  <c r="H37" i="13"/>
  <c r="G37" i="13"/>
  <c r="F37" i="13"/>
  <c r="E37" i="13"/>
  <c r="I36" i="13"/>
  <c r="K36" i="13"/>
  <c r="H35" i="13"/>
  <c r="G35" i="13"/>
  <c r="I35" i="13"/>
  <c r="F35" i="13"/>
  <c r="E35" i="13"/>
  <c r="V34" i="13"/>
  <c r="U34" i="13"/>
  <c r="T34" i="13"/>
  <c r="S34" i="13"/>
  <c r="R34" i="13"/>
  <c r="Q34" i="13"/>
  <c r="P34" i="13"/>
  <c r="N34" i="13"/>
  <c r="L34" i="13"/>
  <c r="J34" i="13"/>
  <c r="H34" i="13"/>
  <c r="G34" i="13"/>
  <c r="I33" i="13"/>
  <c r="K33" i="13"/>
  <c r="H32" i="13"/>
  <c r="G32" i="13"/>
  <c r="I32" i="13"/>
  <c r="F32" i="13"/>
  <c r="E32" i="13"/>
  <c r="V31" i="13"/>
  <c r="U31" i="13"/>
  <c r="T31" i="13"/>
  <c r="S31" i="13"/>
  <c r="R31" i="13"/>
  <c r="Q31" i="13"/>
  <c r="P31" i="13"/>
  <c r="N31" i="13"/>
  <c r="J31" i="13"/>
  <c r="H31" i="13"/>
  <c r="G31" i="13"/>
  <c r="F29" i="13"/>
  <c r="V28" i="13"/>
  <c r="U28" i="13"/>
  <c r="T28" i="13"/>
  <c r="S28" i="13"/>
  <c r="R28" i="13"/>
  <c r="Q28" i="13"/>
  <c r="P28" i="13"/>
  <c r="O28" i="13"/>
  <c r="N28" i="13"/>
  <c r="L28" i="13"/>
  <c r="K28" i="13"/>
  <c r="I27" i="13"/>
  <c r="K27" i="13"/>
  <c r="H26" i="13"/>
  <c r="G26" i="13"/>
  <c r="I26" i="13"/>
  <c r="F26" i="13"/>
  <c r="E26" i="13"/>
  <c r="V25" i="13"/>
  <c r="U25" i="13"/>
  <c r="T25" i="13"/>
  <c r="S25" i="13"/>
  <c r="R25" i="13"/>
  <c r="P25" i="13"/>
  <c r="N25" i="13"/>
  <c r="L25" i="13"/>
  <c r="J25" i="13"/>
  <c r="H25" i="13"/>
  <c r="G25" i="13"/>
  <c r="I24" i="13"/>
  <c r="K24" i="13"/>
  <c r="H23" i="13"/>
  <c r="G23" i="13"/>
  <c r="I23" i="13"/>
  <c r="F23" i="13"/>
  <c r="E23" i="13"/>
  <c r="V22" i="13"/>
  <c r="U22" i="13"/>
  <c r="T22" i="13"/>
  <c r="S22" i="13"/>
  <c r="R22" i="13"/>
  <c r="Q22" i="13"/>
  <c r="P22" i="13"/>
  <c r="O22" i="13"/>
  <c r="N22" i="13"/>
  <c r="L22" i="13"/>
  <c r="J22" i="13"/>
  <c r="H22" i="13"/>
  <c r="G22" i="13"/>
  <c r="I21" i="13"/>
  <c r="K21" i="13"/>
  <c r="H20" i="13"/>
  <c r="G20" i="13"/>
  <c r="I20" i="13"/>
  <c r="F20" i="13"/>
  <c r="E20" i="13"/>
  <c r="V19" i="13"/>
  <c r="U19" i="13"/>
  <c r="T19" i="13"/>
  <c r="S19" i="13"/>
  <c r="R19" i="13"/>
  <c r="Q19" i="13"/>
  <c r="P19" i="13"/>
  <c r="O19" i="13"/>
  <c r="N19" i="13"/>
  <c r="L19" i="13"/>
  <c r="J19" i="13"/>
  <c r="H19" i="13"/>
  <c r="G19" i="13"/>
  <c r="I18" i="13"/>
  <c r="K18" i="13"/>
  <c r="G17" i="13"/>
  <c r="I17" i="13"/>
  <c r="V16" i="13"/>
  <c r="U16" i="13"/>
  <c r="T16" i="13"/>
  <c r="S16" i="13"/>
  <c r="R16" i="13"/>
  <c r="Q16" i="13"/>
  <c r="P16" i="13"/>
  <c r="O16" i="13"/>
  <c r="L16" i="13"/>
  <c r="J16" i="13"/>
  <c r="H16" i="13"/>
  <c r="G16" i="13"/>
  <c r="F16" i="13"/>
  <c r="E16" i="13"/>
  <c r="F14" i="13"/>
  <c r="E14" i="13"/>
  <c r="V13" i="13"/>
  <c r="V65" i="13"/>
  <c r="V86" i="13"/>
  <c r="U13" i="13"/>
  <c r="T13" i="13"/>
  <c r="T65" i="13"/>
  <c r="T86" i="13"/>
  <c r="S13" i="13"/>
  <c r="R13" i="13"/>
  <c r="R65" i="13"/>
  <c r="R86" i="13"/>
  <c r="Q13" i="13"/>
  <c r="P13" i="13"/>
  <c r="P65" i="13"/>
  <c r="O13" i="13"/>
  <c r="T10" i="1"/>
  <c r="AD10" i="1" s="1"/>
  <c r="N13" i="13"/>
  <c r="R10" i="1"/>
  <c r="L13" i="13"/>
  <c r="L65" i="13"/>
  <c r="L86" i="13"/>
  <c r="K13" i="13"/>
  <c r="J13" i="13"/>
  <c r="J65" i="13"/>
  <c r="J86" i="13"/>
  <c r="I13" i="13"/>
  <c r="H13" i="13"/>
  <c r="H65" i="13"/>
  <c r="H86" i="13"/>
  <c r="G13" i="13"/>
  <c r="G65" i="13"/>
  <c r="G86" i="13"/>
  <c r="F13" i="13"/>
  <c r="F65" i="13"/>
  <c r="F86" i="13"/>
  <c r="E13" i="13"/>
  <c r="E65" i="13"/>
  <c r="E86" i="13"/>
  <c r="N99" i="14"/>
  <c r="P99" i="14"/>
  <c r="N71" i="14"/>
  <c r="P113" i="14"/>
  <c r="P131" i="14"/>
  <c r="P134" i="14"/>
  <c r="N66" i="14"/>
  <c r="P140" i="13"/>
  <c r="P98" i="13"/>
  <c r="P93" i="13"/>
  <c r="N403" i="14"/>
  <c r="N405" i="14"/>
  <c r="O393" i="13"/>
  <c r="O396" i="13"/>
  <c r="T158" i="13"/>
  <c r="T98" i="13"/>
  <c r="T93" i="13"/>
  <c r="L391" i="14"/>
  <c r="N398" i="14"/>
  <c r="P400" i="14"/>
  <c r="P398" i="14"/>
  <c r="R400" i="14"/>
  <c r="R398" i="14"/>
  <c r="T400" i="14"/>
  <c r="T398" i="14"/>
  <c r="V400" i="14"/>
  <c r="V391" i="14"/>
  <c r="M400" i="14"/>
  <c r="M398" i="14"/>
  <c r="M391" i="14"/>
  <c r="O400" i="14"/>
  <c r="O398" i="14"/>
  <c r="Q400" i="14"/>
  <c r="Q398" i="14"/>
  <c r="S400" i="14"/>
  <c r="S398" i="14"/>
  <c r="U400" i="14"/>
  <c r="U398" i="14"/>
  <c r="L113" i="14"/>
  <c r="V357" i="14"/>
  <c r="V364" i="14"/>
  <c r="V363" i="14"/>
  <c r="M474" i="13"/>
  <c r="U391" i="14"/>
  <c r="S391" i="14"/>
  <c r="Q391" i="14"/>
  <c r="O357" i="14"/>
  <c r="Q342" i="14"/>
  <c r="O363" i="14"/>
  <c r="Q339" i="14"/>
  <c r="R391" i="14"/>
  <c r="M363" i="14"/>
  <c r="T108" i="2"/>
  <c r="R111" i="2"/>
  <c r="R112" i="2"/>
  <c r="O326" i="14"/>
  <c r="L363" i="14"/>
  <c r="M452" i="14"/>
  <c r="H255" i="14"/>
  <c r="R15" i="1"/>
  <c r="R9" i="1" s="1"/>
  <c r="K228" i="13"/>
  <c r="K229" i="13"/>
  <c r="K234" i="13"/>
  <c r="E389" i="13"/>
  <c r="E474" i="13"/>
  <c r="I217" i="14"/>
  <c r="L49" i="14"/>
  <c r="L58" i="14"/>
  <c r="L474" i="13"/>
  <c r="M447" i="13"/>
  <c r="L447" i="13"/>
  <c r="L365" i="13"/>
  <c r="Q343" i="13"/>
  <c r="Q361" i="13"/>
  <c r="S343" i="13"/>
  <c r="U343" i="13"/>
  <c r="U361" i="13"/>
  <c r="M341" i="13"/>
  <c r="L126" i="13"/>
  <c r="M67" i="13"/>
  <c r="L239" i="14"/>
  <c r="L243" i="14"/>
  <c r="M215" i="14"/>
  <c r="M217" i="14"/>
  <c r="I225" i="14"/>
  <c r="O115" i="14"/>
  <c r="I221" i="14"/>
  <c r="I226" i="14"/>
  <c r="I244" i="14"/>
  <c r="G225" i="14"/>
  <c r="G226" i="14"/>
  <c r="G244" i="14"/>
  <c r="G255" i="14"/>
  <c r="AA10" i="1"/>
  <c r="Q447" i="13"/>
  <c r="K14" i="14"/>
  <c r="K13" i="14"/>
  <c r="K35" i="14"/>
  <c r="K37" i="14"/>
  <c r="I13" i="14"/>
  <c r="I35" i="14"/>
  <c r="I37" i="14"/>
  <c r="E59" i="14"/>
  <c r="G59" i="14"/>
  <c r="G60" i="14"/>
  <c r="J59" i="14"/>
  <c r="R59" i="14"/>
  <c r="V59" i="14"/>
  <c r="I45" i="14"/>
  <c r="K46" i="14"/>
  <c r="K45" i="14"/>
  <c r="F59" i="14"/>
  <c r="H59" i="14"/>
  <c r="P59" i="14"/>
  <c r="T59" i="14"/>
  <c r="I39" i="14"/>
  <c r="K40" i="14"/>
  <c r="K39" i="14"/>
  <c r="I42" i="14"/>
  <c r="K43" i="14"/>
  <c r="K42" i="14"/>
  <c r="L73" i="14"/>
  <c r="O119" i="14"/>
  <c r="S107" i="14"/>
  <c r="K113" i="14"/>
  <c r="O215" i="14"/>
  <c r="N255" i="14"/>
  <c r="P255" i="14"/>
  <c r="R255" i="14"/>
  <c r="L217" i="14"/>
  <c r="J239" i="14"/>
  <c r="J243" i="14"/>
  <c r="T255" i="14"/>
  <c r="V255" i="14"/>
  <c r="S308" i="14"/>
  <c r="S316" i="14"/>
  <c r="J388" i="14"/>
  <c r="M388" i="14"/>
  <c r="O388" i="14"/>
  <c r="Q388" i="14"/>
  <c r="S388" i="14"/>
  <c r="U388" i="14"/>
  <c r="K17" i="13"/>
  <c r="K16" i="13"/>
  <c r="I16" i="13"/>
  <c r="I19" i="13"/>
  <c r="K20" i="13"/>
  <c r="K19" i="13"/>
  <c r="I25" i="13"/>
  <c r="K26" i="13"/>
  <c r="K25" i="13"/>
  <c r="K32" i="13"/>
  <c r="K31" i="13"/>
  <c r="I31" i="13"/>
  <c r="K35" i="13"/>
  <c r="K34" i="13"/>
  <c r="I34" i="13"/>
  <c r="K44" i="13"/>
  <c r="K43" i="13"/>
  <c r="I43" i="13"/>
  <c r="K68" i="13"/>
  <c r="K67" i="13"/>
  <c r="I67" i="13"/>
  <c r="I22" i="13"/>
  <c r="K23" i="13"/>
  <c r="K22" i="13"/>
  <c r="K38" i="13"/>
  <c r="K37" i="13"/>
  <c r="I37" i="13"/>
  <c r="I40" i="13"/>
  <c r="K41" i="13"/>
  <c r="K40" i="13"/>
  <c r="K71" i="13"/>
  <c r="K70" i="13"/>
  <c r="I70" i="13"/>
  <c r="M70" i="13"/>
  <c r="K74" i="13"/>
  <c r="K73" i="13"/>
  <c r="I73" i="13"/>
  <c r="K158" i="13"/>
  <c r="K98" i="13"/>
  <c r="K93" i="13"/>
  <c r="K126" i="13"/>
  <c r="L158" i="13"/>
  <c r="L98" i="13"/>
  <c r="L93" i="13"/>
  <c r="H215" i="13"/>
  <c r="Q233" i="13"/>
  <c r="I205" i="13"/>
  <c r="K205" i="13"/>
  <c r="I213" i="13"/>
  <c r="K213" i="13"/>
  <c r="K214" i="13"/>
  <c r="O233" i="13"/>
  <c r="K204" i="13"/>
  <c r="K206" i="13"/>
  <c r="I209" i="13"/>
  <c r="K209" i="13"/>
  <c r="K210" i="13"/>
  <c r="M328" i="13"/>
  <c r="Q328" i="13"/>
  <c r="O342" i="13"/>
  <c r="L328" i="13"/>
  <c r="P71" i="14"/>
  <c r="O234" i="13"/>
  <c r="P126" i="13"/>
  <c r="P158" i="13"/>
  <c r="N391" i="14"/>
  <c r="T391" i="14"/>
  <c r="P391" i="14"/>
  <c r="L131" i="14"/>
  <c r="L134" i="14"/>
  <c r="L71" i="14"/>
  <c r="T111" i="2"/>
  <c r="I65" i="13"/>
  <c r="K65" i="13"/>
  <c r="M76" i="13"/>
  <c r="L59" i="14"/>
  <c r="J244" i="14"/>
  <c r="J255" i="14"/>
  <c r="Q357" i="14"/>
  <c r="U267" i="14"/>
  <c r="U271" i="14"/>
  <c r="Q326" i="14"/>
  <c r="L225" i="14"/>
  <c r="M223" i="14"/>
  <c r="M117" i="14"/>
  <c r="M114" i="14"/>
  <c r="M73" i="14"/>
  <c r="K49" i="14"/>
  <c r="K58" i="14"/>
  <c r="K59" i="14"/>
  <c r="U316" i="14"/>
  <c r="U308" i="14"/>
  <c r="U326" i="14"/>
  <c r="S326" i="14"/>
  <c r="L226" i="14"/>
  <c r="L244" i="14"/>
  <c r="L255" i="14"/>
  <c r="N195" i="2"/>
  <c r="O217" i="14"/>
  <c r="Q215" i="14"/>
  <c r="K131" i="14"/>
  <c r="K134" i="14"/>
  <c r="K71" i="14"/>
  <c r="T79" i="2"/>
  <c r="M116" i="14"/>
  <c r="L99" i="14"/>
  <c r="L66" i="14"/>
  <c r="I49" i="14"/>
  <c r="I58" i="14"/>
  <c r="I59" i="14"/>
  <c r="K99" i="14"/>
  <c r="O206" i="13"/>
  <c r="T80" i="1"/>
  <c r="T16" i="1" s="1"/>
  <c r="T324" i="1" s="1"/>
  <c r="M142" i="13"/>
  <c r="I210" i="13"/>
  <c r="I76" i="13"/>
  <c r="I86" i="13"/>
  <c r="O341" i="13"/>
  <c r="S272" i="13"/>
  <c r="U272" i="13"/>
  <c r="K215" i="13"/>
  <c r="I214" i="13"/>
  <c r="I206" i="13"/>
  <c r="K76" i="13"/>
  <c r="K86" i="13"/>
  <c r="M217" i="13"/>
  <c r="M140" i="13"/>
  <c r="M98" i="13"/>
  <c r="M93" i="13"/>
  <c r="T14" i="1"/>
  <c r="M58" i="14"/>
  <c r="M59" i="14" s="1"/>
  <c r="R13" i="2"/>
  <c r="K60" i="14"/>
  <c r="Q363" i="14"/>
  <c r="I60" i="14"/>
  <c r="M66" i="14"/>
  <c r="M113" i="14"/>
  <c r="M99" i="14"/>
  <c r="O99" i="14"/>
  <c r="O223" i="14"/>
  <c r="M225" i="14"/>
  <c r="M226" i="14"/>
  <c r="M244" i="14"/>
  <c r="M255" i="14"/>
  <c r="R195" i="2"/>
  <c r="U115" i="14"/>
  <c r="Q217" i="14"/>
  <c r="S215" i="14"/>
  <c r="O114" i="14"/>
  <c r="O73" i="14"/>
  <c r="O66" i="14"/>
  <c r="O117" i="14"/>
  <c r="M158" i="13"/>
  <c r="Q342" i="13"/>
  <c r="O359" i="13"/>
  <c r="O142" i="13"/>
  <c r="Q215" i="13"/>
  <c r="I215" i="13"/>
  <c r="M126" i="13"/>
  <c r="O215" i="13"/>
  <c r="W81" i="1"/>
  <c r="Q234" i="13"/>
  <c r="W80" i="1"/>
  <c r="W14" i="1"/>
  <c r="O140" i="13"/>
  <c r="O126" i="13"/>
  <c r="O225" i="14"/>
  <c r="O226" i="14"/>
  <c r="O244" i="14"/>
  <c r="O255" i="14"/>
  <c r="T195" i="2"/>
  <c r="Q223" i="14"/>
  <c r="Q117" i="14"/>
  <c r="Q114" i="14"/>
  <c r="Q73" i="14"/>
  <c r="O113" i="14"/>
  <c r="O71" i="14"/>
  <c r="S217" i="14"/>
  <c r="U215" i="14"/>
  <c r="U217" i="14"/>
  <c r="M131" i="14"/>
  <c r="M134" i="14"/>
  <c r="N138" i="14"/>
  <c r="M71" i="14"/>
  <c r="S357" i="14"/>
  <c r="S339" i="14"/>
  <c r="U187" i="14"/>
  <c r="U189" i="14"/>
  <c r="U190" i="14"/>
  <c r="AA79" i="2"/>
  <c r="U229" i="13"/>
  <c r="S229" i="13"/>
  <c r="Q141" i="13"/>
  <c r="Q100" i="13"/>
  <c r="Q360" i="13"/>
  <c r="Q341" i="13"/>
  <c r="Y82" i="1"/>
  <c r="S234" i="13"/>
  <c r="AA82" i="1"/>
  <c r="AA81" i="1"/>
  <c r="U234" i="13"/>
  <c r="O158" i="13"/>
  <c r="O98" i="13"/>
  <c r="O93" i="13"/>
  <c r="S103" i="14"/>
  <c r="S121" i="14"/>
  <c r="S116" i="14"/>
  <c r="O131" i="14"/>
  <c r="O134" i="14"/>
  <c r="S114" i="14"/>
  <c r="S101" i="14"/>
  <c r="S104" i="14"/>
  <c r="S122" i="14"/>
  <c r="S117" i="14"/>
  <c r="U117" i="14"/>
  <c r="Q66" i="14"/>
  <c r="Q113" i="14"/>
  <c r="S223" i="14"/>
  <c r="Q225" i="14"/>
  <c r="Q226" i="14"/>
  <c r="Q244" i="14"/>
  <c r="Q255" i="14"/>
  <c r="S141" i="13"/>
  <c r="S100" i="13"/>
  <c r="Q359" i="13"/>
  <c r="S341" i="13"/>
  <c r="S342" i="13"/>
  <c r="Q140" i="13"/>
  <c r="Y14" i="1"/>
  <c r="AA14" i="1"/>
  <c r="S140" i="13"/>
  <c r="Q131" i="14"/>
  <c r="Q134" i="14"/>
  <c r="Q71" i="14"/>
  <c r="S363" i="14"/>
  <c r="S100" i="14"/>
  <c r="S66" i="14"/>
  <c r="S225" i="14"/>
  <c r="S226" i="14"/>
  <c r="S244" i="14"/>
  <c r="S255" i="14"/>
  <c r="U223" i="14"/>
  <c r="U225" i="14"/>
  <c r="U226" i="14"/>
  <c r="U244" i="14"/>
  <c r="U255" i="14"/>
  <c r="Q99" i="14"/>
  <c r="S99" i="14"/>
  <c r="U114" i="14"/>
  <c r="U113" i="14"/>
  <c r="U73" i="14"/>
  <c r="S113" i="14"/>
  <c r="S119" i="14"/>
  <c r="S365" i="13"/>
  <c r="Q158" i="13"/>
  <c r="Q98" i="13"/>
  <c r="Q93" i="13"/>
  <c r="U141" i="13"/>
  <c r="U140" i="13"/>
  <c r="U100" i="13"/>
  <c r="Q126" i="13"/>
  <c r="S126" i="13"/>
  <c r="S98" i="13"/>
  <c r="S93" i="13"/>
  <c r="U126" i="13"/>
  <c r="S158" i="13"/>
  <c r="S131" i="14"/>
  <c r="S134" i="14"/>
  <c r="S71" i="14"/>
  <c r="S98" i="14"/>
  <c r="U131" i="14"/>
  <c r="U134" i="14"/>
  <c r="U71" i="14"/>
  <c r="U357" i="14"/>
  <c r="U66" i="14"/>
  <c r="U99" i="14"/>
  <c r="U158" i="13"/>
  <c r="U98" i="13"/>
  <c r="U93" i="13"/>
  <c r="U342" i="13"/>
  <c r="S359" i="13"/>
  <c r="U360" i="13"/>
  <c r="U359" i="13"/>
  <c r="U341" i="13"/>
  <c r="U363" i="14"/>
  <c r="U365" i="13"/>
  <c r="N94" i="2"/>
  <c r="O94" i="2" s="1"/>
  <c r="R92" i="1"/>
  <c r="R150" i="2"/>
  <c r="AH18" i="5"/>
  <c r="R146" i="1"/>
  <c r="R168" i="1"/>
  <c r="R166" i="1"/>
  <c r="R137" i="1"/>
  <c r="R139" i="1"/>
  <c r="R141" i="1"/>
  <c r="R142" i="1"/>
  <c r="R143" i="1"/>
  <c r="R136" i="1"/>
  <c r="AH8" i="5"/>
  <c r="AH14" i="5"/>
  <c r="C6" i="6"/>
  <c r="B6" i="6"/>
  <c r="E5" i="6"/>
  <c r="D5" i="6"/>
  <c r="F5" i="6" s="1"/>
  <c r="E4" i="6"/>
  <c r="D4" i="6"/>
  <c r="D6" i="6" s="1"/>
  <c r="O10" i="1"/>
  <c r="O11" i="1"/>
  <c r="O12" i="1"/>
  <c r="O13" i="1"/>
  <c r="O14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2" i="1"/>
  <c r="O83" i="1"/>
  <c r="O84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5" i="1"/>
  <c r="O106" i="1"/>
  <c r="O107" i="1"/>
  <c r="O108" i="1"/>
  <c r="O109" i="1"/>
  <c r="O112" i="1"/>
  <c r="O113" i="1"/>
  <c r="O114" i="1"/>
  <c r="O118" i="1"/>
  <c r="O120" i="1"/>
  <c r="O122" i="1"/>
  <c r="O123" i="1"/>
  <c r="O125" i="1"/>
  <c r="O126" i="1"/>
  <c r="O127" i="1"/>
  <c r="O128" i="1"/>
  <c r="O129" i="1"/>
  <c r="O130" i="1"/>
  <c r="O131" i="1"/>
  <c r="O132" i="1"/>
  <c r="O138" i="1"/>
  <c r="O140" i="1"/>
  <c r="O146" i="1"/>
  <c r="O148" i="1"/>
  <c r="O149" i="1"/>
  <c r="O150" i="1"/>
  <c r="O151" i="1"/>
  <c r="O152" i="1"/>
  <c r="O153" i="1"/>
  <c r="O154" i="1"/>
  <c r="O155" i="1"/>
  <c r="O156" i="1"/>
  <c r="O167" i="1"/>
  <c r="O172" i="1"/>
  <c r="O173" i="1"/>
  <c r="O174" i="1"/>
  <c r="O175" i="1"/>
  <c r="O176" i="1"/>
  <c r="O177" i="1"/>
  <c r="O178" i="1"/>
  <c r="O179" i="1"/>
  <c r="O180" i="1"/>
  <c r="O181" i="1"/>
  <c r="O183" i="1"/>
  <c r="O184" i="1"/>
  <c r="O187" i="1"/>
  <c r="O188" i="1"/>
  <c r="O189" i="1"/>
  <c r="O190" i="1"/>
  <c r="O191" i="1"/>
  <c r="O192" i="1"/>
  <c r="O193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1" i="1"/>
  <c r="O212" i="1"/>
  <c r="O213" i="1"/>
  <c r="O215" i="1"/>
  <c r="O216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8" i="1"/>
  <c r="O269" i="1"/>
  <c r="O270" i="1"/>
  <c r="O271" i="1"/>
  <c r="O272" i="1"/>
  <c r="O273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7" i="1"/>
  <c r="O11" i="2"/>
  <c r="O12" i="2"/>
  <c r="O14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5" i="2"/>
  <c r="O56" i="2"/>
  <c r="O57" i="2"/>
  <c r="O58" i="2"/>
  <c r="O61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80" i="2"/>
  <c r="O81" i="2"/>
  <c r="O82" i="2"/>
  <c r="O83" i="2"/>
  <c r="O84" i="2"/>
  <c r="O85" i="2"/>
  <c r="O86" i="2"/>
  <c r="O87" i="2"/>
  <c r="O88" i="2"/>
  <c r="O89" i="2"/>
  <c r="O90" i="2"/>
  <c r="O92" i="2"/>
  <c r="O93" i="2"/>
  <c r="O95" i="2"/>
  <c r="O96" i="2"/>
  <c r="O97" i="2"/>
  <c r="O98" i="2"/>
  <c r="O99" i="2"/>
  <c r="O100" i="2"/>
  <c r="O101" i="2"/>
  <c r="O102" i="2"/>
  <c r="O103" i="2"/>
  <c r="O104" i="2"/>
  <c r="O105" i="2"/>
  <c r="O107" i="2"/>
  <c r="O108" i="2"/>
  <c r="O109" i="2"/>
  <c r="O110" i="2"/>
  <c r="O111" i="2"/>
  <c r="O112" i="2"/>
  <c r="O113" i="2"/>
  <c r="O116" i="2"/>
  <c r="O117" i="2"/>
  <c r="O118" i="2"/>
  <c r="O121" i="2"/>
  <c r="O122" i="2"/>
  <c r="O124" i="2"/>
  <c r="O126" i="2"/>
  <c r="O127" i="2"/>
  <c r="O129" i="2"/>
  <c r="O130" i="2"/>
  <c r="O131" i="2"/>
  <c r="O132" i="2"/>
  <c r="O133" i="2"/>
  <c r="O134" i="2"/>
  <c r="O135" i="2"/>
  <c r="O136" i="2"/>
  <c r="O149" i="2"/>
  <c r="O150" i="2"/>
  <c r="O152" i="2"/>
  <c r="O153" i="2"/>
  <c r="O154" i="2"/>
  <c r="O155" i="2"/>
  <c r="O156" i="2"/>
  <c r="O157" i="2"/>
  <c r="O158" i="2"/>
  <c r="O159" i="2"/>
  <c r="O160" i="2"/>
  <c r="O171" i="2"/>
  <c r="O172" i="2"/>
  <c r="O173" i="2"/>
  <c r="O177" i="2"/>
  <c r="O176" i="2" s="1"/>
  <c r="O178" i="2"/>
  <c r="O179" i="2"/>
  <c r="O180" i="2"/>
  <c r="O181" i="2"/>
  <c r="O182" i="2"/>
  <c r="O183" i="2"/>
  <c r="O184" i="2"/>
  <c r="O185" i="2"/>
  <c r="O186" i="2"/>
  <c r="O188" i="2"/>
  <c r="O189" i="2"/>
  <c r="O191" i="2"/>
  <c r="O193" i="2"/>
  <c r="O194" i="2"/>
  <c r="O195" i="2"/>
  <c r="O196" i="2"/>
  <c r="O197" i="2"/>
  <c r="O198" i="2"/>
  <c r="O10" i="2"/>
  <c r="F4" i="6"/>
  <c r="F6" i="6" s="1"/>
  <c r="N175" i="2"/>
  <c r="N174" i="2" s="1"/>
  <c r="L8" i="10"/>
  <c r="N190" i="2"/>
  <c r="R190" i="2" s="1"/>
  <c r="T190" i="2" s="1"/>
  <c r="T187" i="2" s="1"/>
  <c r="AE39" i="5"/>
  <c r="N15" i="1"/>
  <c r="AE7" i="5"/>
  <c r="AH7" i="5"/>
  <c r="N9" i="1"/>
  <c r="L87" i="13"/>
  <c r="O15" i="1"/>
  <c r="R187" i="2"/>
  <c r="R327" i="2" s="1"/>
  <c r="O185" i="1"/>
  <c r="N8" i="10"/>
  <c r="M8" i="10"/>
  <c r="T185" i="1"/>
  <c r="T182" i="1" s="1"/>
  <c r="T323" i="1" s="1"/>
  <c r="O106" i="2"/>
  <c r="N91" i="2"/>
  <c r="O91" i="2"/>
  <c r="N79" i="2"/>
  <c r="N13" i="2"/>
  <c r="O13" i="2" s="1"/>
  <c r="AE12" i="5"/>
  <c r="AH12" i="5"/>
  <c r="N137" i="2"/>
  <c r="O137" i="2" s="1"/>
  <c r="AE42" i="5"/>
  <c r="N7" i="8"/>
  <c r="AE38" i="5"/>
  <c r="O79" i="2"/>
  <c r="N125" i="2"/>
  <c r="O125" i="2" s="1"/>
  <c r="D45" i="9"/>
  <c r="C45" i="9"/>
  <c r="I42" i="9"/>
  <c r="H42" i="9"/>
  <c r="F42" i="9"/>
  <c r="E42" i="9"/>
  <c r="I41" i="9"/>
  <c r="H41" i="9"/>
  <c r="F41" i="9"/>
  <c r="E41" i="9"/>
  <c r="E37" i="9"/>
  <c r="H36" i="9"/>
  <c r="F32" i="9"/>
  <c r="F27" i="9"/>
  <c r="E27" i="9"/>
  <c r="E22" i="9"/>
  <c r="E15" i="9"/>
  <c r="E45" i="9"/>
  <c r="G8" i="9"/>
  <c r="G46" i="9"/>
  <c r="G47" i="9"/>
  <c r="F8" i="9"/>
  <c r="E8" i="9"/>
  <c r="E46" i="9"/>
  <c r="E47" i="9"/>
  <c r="C8" i="9"/>
  <c r="C10" i="9"/>
  <c r="G9" i="9"/>
  <c r="G10" i="9"/>
  <c r="F45" i="9"/>
  <c r="F46" i="9"/>
  <c r="F47" i="9"/>
  <c r="E10" i="9"/>
  <c r="H15" i="9"/>
  <c r="H39" i="9"/>
  <c r="F10" i="9"/>
  <c r="G53" i="9"/>
  <c r="N217" i="1"/>
  <c r="O31" i="3" s="1"/>
  <c r="O29" i="3" s="1"/>
  <c r="G54" i="9"/>
  <c r="N221" i="2"/>
  <c r="N30" i="4" s="1"/>
  <c r="N28" i="4" s="1"/>
  <c r="O217" i="1"/>
  <c r="L89" i="1"/>
  <c r="L116" i="1"/>
  <c r="L144" i="1"/>
  <c r="L134" i="1"/>
  <c r="N119" i="1"/>
  <c r="N133" i="1"/>
  <c r="O133" i="1"/>
  <c r="R120" i="1"/>
  <c r="O12" i="3"/>
  <c r="O119" i="1"/>
  <c r="O186" i="1"/>
  <c r="N182" i="1"/>
  <c r="O89" i="1"/>
  <c r="N121" i="1"/>
  <c r="O121" i="1"/>
  <c r="M328" i="1"/>
  <c r="AE40" i="5"/>
  <c r="L16" i="1"/>
  <c r="Y186" i="1"/>
  <c r="AE47" i="5"/>
  <c r="AE45" i="5"/>
  <c r="AE41" i="5"/>
  <c r="AG38" i="5"/>
  <c r="N161" i="2"/>
  <c r="O161" i="2" s="1"/>
  <c r="AF38" i="5"/>
  <c r="N157" i="1"/>
  <c r="O157" i="1" s="1"/>
  <c r="AE18" i="5"/>
  <c r="AE44" i="5"/>
  <c r="AE43" i="5"/>
  <c r="AE10" i="5"/>
  <c r="AH10" i="5"/>
  <c r="AE13" i="5"/>
  <c r="AH13" i="5"/>
  <c r="AA186" i="1"/>
  <c r="N145" i="1"/>
  <c r="O145" i="1" s="1"/>
  <c r="AG40" i="5"/>
  <c r="N163" i="2"/>
  <c r="O163" i="2"/>
  <c r="AG41" i="5"/>
  <c r="N164" i="2"/>
  <c r="O164" i="2" s="1"/>
  <c r="AG42" i="5"/>
  <c r="N165" i="2"/>
  <c r="O165" i="2" s="1"/>
  <c r="AG43" i="5"/>
  <c r="N166" i="2"/>
  <c r="O166" i="2" s="1"/>
  <c r="AG44" i="5"/>
  <c r="N167" i="2"/>
  <c r="O167" i="2" s="1"/>
  <c r="AG45" i="5"/>
  <c r="N168" i="2"/>
  <c r="O168" i="2" s="1"/>
  <c r="AG46" i="5"/>
  <c r="N169" i="2"/>
  <c r="O169" i="2" s="1"/>
  <c r="AG39" i="5"/>
  <c r="N162" i="2"/>
  <c r="O162" i="2" s="1"/>
  <c r="AF40" i="5"/>
  <c r="AF41" i="5"/>
  <c r="N160" i="1"/>
  <c r="O160" i="1" s="1"/>
  <c r="AF42" i="5"/>
  <c r="N161" i="1"/>
  <c r="O161" i="1" s="1"/>
  <c r="AF43" i="5"/>
  <c r="N162" i="1"/>
  <c r="O162" i="1" s="1"/>
  <c r="AF44" i="5"/>
  <c r="N163" i="1"/>
  <c r="O163" i="1"/>
  <c r="AF45" i="5"/>
  <c r="N164" i="1"/>
  <c r="O164" i="1" s="1"/>
  <c r="AF46" i="5"/>
  <c r="N165" i="1"/>
  <c r="O165" i="1"/>
  <c r="AF47" i="5"/>
  <c r="AF39" i="5"/>
  <c r="N158" i="1"/>
  <c r="O158" i="1"/>
  <c r="AG8" i="5"/>
  <c r="N141" i="2"/>
  <c r="O141" i="2" s="1"/>
  <c r="AG9" i="5"/>
  <c r="N142" i="2"/>
  <c r="O142" i="2"/>
  <c r="AG10" i="5"/>
  <c r="N143" i="2"/>
  <c r="O143" i="2" s="1"/>
  <c r="AG11" i="5"/>
  <c r="N144" i="2"/>
  <c r="O144" i="2" s="1"/>
  <c r="AG12" i="5"/>
  <c r="N145" i="2"/>
  <c r="O145" i="2" s="1"/>
  <c r="AG13" i="5"/>
  <c r="N146" i="2"/>
  <c r="O146" i="2" s="1"/>
  <c r="AG14" i="5"/>
  <c r="N147" i="2"/>
  <c r="O147" i="2" s="1"/>
  <c r="AG7" i="5"/>
  <c r="N140" i="2"/>
  <c r="O140" i="2" s="1"/>
  <c r="AF8" i="5"/>
  <c r="N137" i="1"/>
  <c r="O137" i="1" s="1"/>
  <c r="AF9" i="5"/>
  <c r="AF10" i="5"/>
  <c r="N139" i="1"/>
  <c r="O139" i="1" s="1"/>
  <c r="AF11" i="5"/>
  <c r="AF12" i="5"/>
  <c r="N141" i="1"/>
  <c r="O141" i="1" s="1"/>
  <c r="AF13" i="5"/>
  <c r="N142" i="1"/>
  <c r="O142" i="1"/>
  <c r="AF14" i="5"/>
  <c r="N143" i="1"/>
  <c r="O143" i="1" s="1"/>
  <c r="AF7" i="5"/>
  <c r="N136" i="1"/>
  <c r="O136" i="1" s="1"/>
  <c r="AE35" i="5"/>
  <c r="AE16" i="5"/>
  <c r="AE19" i="5"/>
  <c r="U57" i="8"/>
  <c r="W57" i="8"/>
  <c r="Y57" i="8"/>
  <c r="AA57" i="8"/>
  <c r="N117" i="1"/>
  <c r="N85" i="1"/>
  <c r="AH19" i="5"/>
  <c r="R151" i="2"/>
  <c r="N151" i="2"/>
  <c r="O151" i="2" s="1"/>
  <c r="N116" i="1"/>
  <c r="O116" i="1"/>
  <c r="O11" i="3"/>
  <c r="O117" i="1"/>
  <c r="N353" i="1"/>
  <c r="O353" i="1" s="1"/>
  <c r="N81" i="1"/>
  <c r="O85" i="1"/>
  <c r="N159" i="1"/>
  <c r="O159" i="1" s="1"/>
  <c r="AE15" i="5"/>
  <c r="H57" i="8"/>
  <c r="H62" i="8"/>
  <c r="G57" i="8"/>
  <c r="G63" i="8"/>
  <c r="V51" i="8"/>
  <c r="M51" i="8"/>
  <c r="V50" i="8"/>
  <c r="X50" i="8"/>
  <c r="Z50" i="8"/>
  <c r="I50" i="8"/>
  <c r="M50" i="8"/>
  <c r="V49" i="8"/>
  <c r="X49" i="8"/>
  <c r="Z49" i="8"/>
  <c r="I49" i="8"/>
  <c r="M49" i="8"/>
  <c r="V48" i="8"/>
  <c r="X48" i="8"/>
  <c r="Z48" i="8"/>
  <c r="I48" i="8"/>
  <c r="M48" i="8"/>
  <c r="V47" i="8"/>
  <c r="X47" i="8"/>
  <c r="Z47" i="8"/>
  <c r="I47" i="8"/>
  <c r="M47" i="8"/>
  <c r="V46" i="8"/>
  <c r="X46" i="8"/>
  <c r="Z46" i="8"/>
  <c r="I46" i="8"/>
  <c r="M46" i="8"/>
  <c r="V45" i="8"/>
  <c r="X45" i="8"/>
  <c r="Z45" i="8"/>
  <c r="I45" i="8"/>
  <c r="M45" i="8"/>
  <c r="V44" i="8"/>
  <c r="X44" i="8"/>
  <c r="Z44" i="8"/>
  <c r="I44" i="8"/>
  <c r="M44" i="8"/>
  <c r="V43" i="8"/>
  <c r="X43" i="8"/>
  <c r="Z43" i="8"/>
  <c r="I43" i="8"/>
  <c r="M43" i="8"/>
  <c r="V42" i="8"/>
  <c r="X42" i="8"/>
  <c r="Z42" i="8"/>
  <c r="I42" i="8"/>
  <c r="M42" i="8"/>
  <c r="J41" i="8"/>
  <c r="V41" i="8"/>
  <c r="X41" i="8"/>
  <c r="Z41" i="8"/>
  <c r="I41" i="8"/>
  <c r="M41" i="8"/>
  <c r="V40" i="8"/>
  <c r="X40" i="8"/>
  <c r="Z40" i="8"/>
  <c r="I40" i="8"/>
  <c r="M40" i="8"/>
  <c r="I39" i="8"/>
  <c r="M39" i="8"/>
  <c r="V38" i="8"/>
  <c r="X38" i="8"/>
  <c r="Z38" i="8"/>
  <c r="I38" i="8"/>
  <c r="M38" i="8"/>
  <c r="L37" i="8"/>
  <c r="L57" i="8"/>
  <c r="K37" i="8"/>
  <c r="K57" i="8"/>
  <c r="J37" i="8"/>
  <c r="V37" i="8"/>
  <c r="X37" i="8"/>
  <c r="Z37" i="8"/>
  <c r="I37" i="8"/>
  <c r="M37" i="8"/>
  <c r="V36" i="8"/>
  <c r="X36" i="8"/>
  <c r="Z36" i="8"/>
  <c r="I36" i="8"/>
  <c r="M36" i="8"/>
  <c r="V35" i="8"/>
  <c r="X35" i="8"/>
  <c r="Z35" i="8"/>
  <c r="I35" i="8"/>
  <c r="M35" i="8"/>
  <c r="I34" i="8"/>
  <c r="M34" i="8"/>
  <c r="V33" i="8"/>
  <c r="X33" i="8"/>
  <c r="Z33" i="8"/>
  <c r="J33" i="8"/>
  <c r="I33" i="8"/>
  <c r="M33" i="8"/>
  <c r="V32" i="8"/>
  <c r="X32" i="8"/>
  <c r="Z32" i="8"/>
  <c r="I32" i="8"/>
  <c r="M32" i="8"/>
  <c r="V31" i="8"/>
  <c r="X31" i="8"/>
  <c r="Z31" i="8"/>
  <c r="I31" i="8"/>
  <c r="M31" i="8"/>
  <c r="V30" i="8"/>
  <c r="X30" i="8"/>
  <c r="Z30" i="8"/>
  <c r="I30" i="8"/>
  <c r="M30" i="8"/>
  <c r="V29" i="8"/>
  <c r="X29" i="8"/>
  <c r="Z29" i="8"/>
  <c r="I29" i="8"/>
  <c r="M29" i="8"/>
  <c r="V28" i="8"/>
  <c r="X28" i="8"/>
  <c r="Z28" i="8"/>
  <c r="I28" i="8"/>
  <c r="M28" i="8"/>
  <c r="V27" i="8"/>
  <c r="X27" i="8"/>
  <c r="Z27" i="8"/>
  <c r="I27" i="8"/>
  <c r="M27" i="8"/>
  <c r="V26" i="8"/>
  <c r="X26" i="8"/>
  <c r="Z26" i="8"/>
  <c r="I26" i="8"/>
  <c r="M26" i="8"/>
  <c r="V25" i="8"/>
  <c r="X25" i="8"/>
  <c r="Z25" i="8"/>
  <c r="I25" i="8"/>
  <c r="M25" i="8"/>
  <c r="V24" i="8"/>
  <c r="X24" i="8"/>
  <c r="Z24" i="8"/>
  <c r="I24" i="8"/>
  <c r="M24" i="8"/>
  <c r="V23" i="8"/>
  <c r="X23" i="8"/>
  <c r="Z23" i="8"/>
  <c r="I23" i="8"/>
  <c r="M23" i="8"/>
  <c r="V22" i="8"/>
  <c r="X22" i="8"/>
  <c r="Z22" i="8"/>
  <c r="I22" i="8"/>
  <c r="M22" i="8"/>
  <c r="V21" i="8"/>
  <c r="X21" i="8"/>
  <c r="Z21" i="8"/>
  <c r="I21" i="8"/>
  <c r="M21" i="8"/>
  <c r="V20" i="8"/>
  <c r="X20" i="8"/>
  <c r="Z20" i="8"/>
  <c r="I20" i="8"/>
  <c r="M20" i="8"/>
  <c r="V19" i="8"/>
  <c r="X19" i="8"/>
  <c r="Z19" i="8"/>
  <c r="I19" i="8"/>
  <c r="M19" i="8"/>
  <c r="V18" i="8"/>
  <c r="X18" i="8"/>
  <c r="Z18" i="8"/>
  <c r="I18" i="8"/>
  <c r="M18" i="8"/>
  <c r="J17" i="8"/>
  <c r="J57" i="8"/>
  <c r="I17" i="8"/>
  <c r="M17" i="8"/>
  <c r="V16" i="8"/>
  <c r="X16" i="8"/>
  <c r="Z16" i="8"/>
  <c r="I16" i="8"/>
  <c r="M16" i="8"/>
  <c r="V15" i="8"/>
  <c r="X15" i="8"/>
  <c r="Z15" i="8"/>
  <c r="I15" i="8"/>
  <c r="M15" i="8"/>
  <c r="V14" i="8"/>
  <c r="X14" i="8"/>
  <c r="Z14" i="8"/>
  <c r="I14" i="8"/>
  <c r="M14" i="8"/>
  <c r="V13" i="8"/>
  <c r="X13" i="8"/>
  <c r="Z13" i="8"/>
  <c r="I13" i="8"/>
  <c r="M13" i="8"/>
  <c r="V12" i="8"/>
  <c r="X12" i="8"/>
  <c r="Z12" i="8"/>
  <c r="I12" i="8"/>
  <c r="M12" i="8"/>
  <c r="V11" i="8"/>
  <c r="X11" i="8"/>
  <c r="Z11" i="8"/>
  <c r="I11" i="8"/>
  <c r="M11" i="8"/>
  <c r="I10" i="8"/>
  <c r="M10" i="8"/>
  <c r="F9" i="8"/>
  <c r="F57" i="8"/>
  <c r="E9" i="8"/>
  <c r="E57" i="8"/>
  <c r="AB8" i="8"/>
  <c r="AB7" i="8"/>
  <c r="O81" i="1"/>
  <c r="M57" i="8"/>
  <c r="M62" i="8"/>
  <c r="AB9" i="8"/>
  <c r="AB10" i="8"/>
  <c r="E63" i="8"/>
  <c r="E62" i="8"/>
  <c r="J63" i="8"/>
  <c r="J62" i="8"/>
  <c r="F62" i="8"/>
  <c r="F63" i="8"/>
  <c r="I57" i="8"/>
  <c r="I62" i="8"/>
  <c r="G62" i="8"/>
  <c r="H63" i="8"/>
  <c r="V39" i="8"/>
  <c r="V34" i="8"/>
  <c r="V10" i="8"/>
  <c r="X39" i="8"/>
  <c r="X34" i="8"/>
  <c r="X10" i="8"/>
  <c r="Z39" i="8"/>
  <c r="Z34" i="8"/>
  <c r="Z10" i="8"/>
  <c r="T94" i="2"/>
  <c r="AA133" i="2"/>
  <c r="R137" i="2"/>
  <c r="R125" i="2"/>
  <c r="R120" i="2" s="1"/>
  <c r="R128" i="2"/>
  <c r="T128" i="2" s="1"/>
  <c r="T126" i="2" s="1"/>
  <c r="T91" i="2"/>
  <c r="T124" i="1"/>
  <c r="R94" i="2"/>
  <c r="R9" i="2"/>
  <c r="N148" i="2"/>
  <c r="O148" i="2"/>
  <c r="N128" i="2"/>
  <c r="O128" i="2"/>
  <c r="Y124" i="1"/>
  <c r="W91" i="2"/>
  <c r="W133" i="1"/>
  <c r="W121" i="1"/>
  <c r="W116" i="1"/>
  <c r="Y122" i="1"/>
  <c r="AA124" i="1"/>
  <c r="AA122" i="1"/>
  <c r="AA121" i="1"/>
  <c r="AA116" i="1" s="1"/>
  <c r="T137" i="2"/>
  <c r="Y128" i="2"/>
  <c r="AA128" i="2"/>
  <c r="AA126" i="2" s="1"/>
  <c r="R124" i="1"/>
  <c r="R121" i="1"/>
  <c r="R116" i="1"/>
  <c r="N124" i="1"/>
  <c r="O124" i="1"/>
  <c r="Y133" i="1"/>
  <c r="Y121" i="1"/>
  <c r="Y116" i="1"/>
  <c r="W137" i="2"/>
  <c r="W125" i="2"/>
  <c r="Y126" i="2"/>
  <c r="Y137" i="2" s="1"/>
  <c r="Y125" i="2" s="1"/>
  <c r="T101" i="1"/>
  <c r="T89" i="1"/>
  <c r="AB101" i="1"/>
  <c r="AB89" i="1"/>
  <c r="R101" i="1"/>
  <c r="R89" i="1"/>
  <c r="T92" i="1"/>
  <c r="AA92" i="1"/>
  <c r="N147" i="1"/>
  <c r="O147" i="1" s="1"/>
  <c r="AG19" i="5"/>
  <c r="AF19" i="5"/>
  <c r="W101" i="1"/>
  <c r="W89" i="1"/>
  <c r="AF37" i="5"/>
  <c r="AB19" i="5"/>
  <c r="AG37" i="5"/>
  <c r="Y101" i="1"/>
  <c r="AA90" i="1"/>
  <c r="AF49" i="5"/>
  <c r="N168" i="1"/>
  <c r="O168" i="1" s="1"/>
  <c r="AG32" i="5"/>
  <c r="AF32" i="5"/>
  <c r="AG29" i="5"/>
  <c r="AF29" i="5"/>
  <c r="AG26" i="5"/>
  <c r="AF26" i="5"/>
  <c r="AG23" i="5"/>
  <c r="AF23" i="5"/>
  <c r="AG20" i="5"/>
  <c r="AF20" i="5"/>
  <c r="AE6" i="5"/>
  <c r="AE51" i="5"/>
  <c r="AA101" i="1"/>
  <c r="AA89" i="1"/>
  <c r="AF15" i="5"/>
  <c r="AG15" i="5"/>
  <c r="AG49" i="5"/>
  <c r="AG47" i="5"/>
  <c r="V49" i="5"/>
  <c r="AB49" i="5"/>
  <c r="S49" i="5"/>
  <c r="R49" i="5"/>
  <c r="Q49" i="5"/>
  <c r="O49" i="5"/>
  <c r="N49" i="5"/>
  <c r="N47" i="5"/>
  <c r="L49" i="5"/>
  <c r="L47" i="5"/>
  <c r="K49" i="5"/>
  <c r="I49" i="5"/>
  <c r="H49" i="5"/>
  <c r="H47" i="5"/>
  <c r="V47" i="5"/>
  <c r="S47" i="5"/>
  <c r="R47" i="5"/>
  <c r="Q47" i="5"/>
  <c r="P47" i="5"/>
  <c r="O47" i="5"/>
  <c r="M47" i="5"/>
  <c r="K47" i="5"/>
  <c r="J47" i="5"/>
  <c r="I47" i="5"/>
  <c r="G47" i="5"/>
  <c r="AB46" i="5"/>
  <c r="AD46" i="5"/>
  <c r="X46" i="5"/>
  <c r="W46" i="5"/>
  <c r="S46" i="5"/>
  <c r="U46" i="5"/>
  <c r="R46" i="5"/>
  <c r="Q46" i="5"/>
  <c r="O46" i="5"/>
  <c r="N46" i="5"/>
  <c r="AB45" i="5"/>
  <c r="AD45" i="5"/>
  <c r="X45" i="5"/>
  <c r="W45" i="5"/>
  <c r="S45" i="5"/>
  <c r="Y45" i="5"/>
  <c r="AA45" i="5"/>
  <c r="R45" i="5"/>
  <c r="Q45" i="5"/>
  <c r="O45" i="5"/>
  <c r="N45" i="5"/>
  <c r="AB44" i="5"/>
  <c r="X44" i="5"/>
  <c r="W44" i="5"/>
  <c r="S44" i="5"/>
  <c r="Y44" i="5"/>
  <c r="R44" i="5"/>
  <c r="Q44" i="5"/>
  <c r="O44" i="5"/>
  <c r="N44" i="5"/>
  <c r="AB43" i="5"/>
  <c r="X43" i="5"/>
  <c r="W43" i="5"/>
  <c r="S43" i="5"/>
  <c r="Y43" i="5"/>
  <c r="R43" i="5"/>
  <c r="Q43" i="5"/>
  <c r="O43" i="5"/>
  <c r="N43" i="5"/>
  <c r="X42" i="5"/>
  <c r="W42" i="5"/>
  <c r="S42" i="5"/>
  <c r="Y42" i="5"/>
  <c r="R42" i="5"/>
  <c r="Q42" i="5"/>
  <c r="O42" i="5"/>
  <c r="N42" i="5"/>
  <c r="L42" i="5"/>
  <c r="K42" i="5"/>
  <c r="I42" i="5"/>
  <c r="H42" i="5"/>
  <c r="AB41" i="5"/>
  <c r="V41" i="5"/>
  <c r="W41" i="5"/>
  <c r="S41" i="5"/>
  <c r="Y41" i="5"/>
  <c r="R41" i="5"/>
  <c r="N41" i="5"/>
  <c r="L41" i="5"/>
  <c r="K41" i="5"/>
  <c r="I41" i="5"/>
  <c r="H41" i="5"/>
  <c r="AB40" i="5"/>
  <c r="AD40" i="5"/>
  <c r="X40" i="5"/>
  <c r="W40" i="5"/>
  <c r="S40" i="5"/>
  <c r="U40" i="5"/>
  <c r="O40" i="5"/>
  <c r="N40" i="5"/>
  <c r="L40" i="5"/>
  <c r="K40" i="5"/>
  <c r="I40" i="5"/>
  <c r="H40" i="5"/>
  <c r="AB39" i="5"/>
  <c r="AD39" i="5"/>
  <c r="X39" i="5"/>
  <c r="W39" i="5"/>
  <c r="S39" i="5"/>
  <c r="U39" i="5"/>
  <c r="R39" i="5"/>
  <c r="O39" i="5"/>
  <c r="N39" i="5"/>
  <c r="L39" i="5"/>
  <c r="K39" i="5"/>
  <c r="I39" i="5"/>
  <c r="H39" i="5"/>
  <c r="X38" i="5"/>
  <c r="W38" i="5"/>
  <c r="S38" i="5"/>
  <c r="Y38" i="5"/>
  <c r="O38" i="5"/>
  <c r="N38" i="5"/>
  <c r="L38" i="5"/>
  <c r="K38" i="5"/>
  <c r="I38" i="5"/>
  <c r="H38" i="5"/>
  <c r="AZ37" i="5"/>
  <c r="AW37" i="5"/>
  <c r="AB37" i="5"/>
  <c r="AD37" i="5"/>
  <c r="Y37" i="5"/>
  <c r="Z37" i="5"/>
  <c r="V37" i="5"/>
  <c r="X37" i="5"/>
  <c r="S37" i="5"/>
  <c r="U37" i="5"/>
  <c r="R37" i="5"/>
  <c r="Q37" i="5"/>
  <c r="O37" i="5"/>
  <c r="M37" i="5"/>
  <c r="J37" i="5"/>
  <c r="G37" i="5"/>
  <c r="F37" i="5"/>
  <c r="E37" i="5"/>
  <c r="V35" i="5"/>
  <c r="X35" i="5"/>
  <c r="R35" i="5"/>
  <c r="R15" i="5"/>
  <c r="J35" i="5"/>
  <c r="J15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J32" i="5"/>
  <c r="AI32" i="5"/>
  <c r="AH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J29" i="5"/>
  <c r="AI29" i="5"/>
  <c r="AH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J26" i="5"/>
  <c r="AI26" i="5"/>
  <c r="AH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E51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J23" i="5"/>
  <c r="AI23" i="5"/>
  <c r="AH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J20" i="5"/>
  <c r="AI20" i="5"/>
  <c r="AH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P19" i="5"/>
  <c r="M19" i="5"/>
  <c r="S19" i="5"/>
  <c r="Y19" i="5"/>
  <c r="BB37" i="5"/>
  <c r="BA37" i="5"/>
  <c r="AY37" i="5"/>
  <c r="AV37" i="5"/>
  <c r="AU37" i="5"/>
  <c r="AS37" i="5"/>
  <c r="AR37" i="5"/>
  <c r="AI37" i="5"/>
  <c r="AH37" i="5"/>
  <c r="AD18" i="5"/>
  <c r="AC18" i="5"/>
  <c r="N18" i="5"/>
  <c r="N37" i="5"/>
  <c r="L18" i="5"/>
  <c r="L37" i="5"/>
  <c r="K18" i="5"/>
  <c r="K37" i="5"/>
  <c r="I18" i="5"/>
  <c r="I37" i="5"/>
  <c r="H18" i="5"/>
  <c r="H37" i="5"/>
  <c r="BB17" i="5"/>
  <c r="AY17" i="5"/>
  <c r="AX17" i="5"/>
  <c r="AV17" i="5"/>
  <c r="AR17" i="5"/>
  <c r="AI17" i="5"/>
  <c r="AB17" i="5"/>
  <c r="AA17" i="5"/>
  <c r="Z17" i="5"/>
  <c r="X17" i="5"/>
  <c r="W17" i="5"/>
  <c r="V17" i="5"/>
  <c r="U17" i="5"/>
  <c r="T17" i="5"/>
  <c r="R17" i="5"/>
  <c r="Q17" i="5"/>
  <c r="P17" i="5"/>
  <c r="O17" i="5"/>
  <c r="J17" i="5"/>
  <c r="G17" i="5"/>
  <c r="I17" i="5"/>
  <c r="F17" i="5"/>
  <c r="E17" i="5"/>
  <c r="AD16" i="5"/>
  <c r="AD35" i="5"/>
  <c r="AD15" i="5"/>
  <c r="AC16" i="5"/>
  <c r="AC35" i="5"/>
  <c r="AB16" i="5"/>
  <c r="AB35" i="5"/>
  <c r="AB15" i="5"/>
  <c r="X16" i="5"/>
  <c r="X15" i="5"/>
  <c r="W16" i="5"/>
  <c r="W35" i="5"/>
  <c r="L16" i="5"/>
  <c r="L35" i="5"/>
  <c r="L15" i="5"/>
  <c r="K16" i="5"/>
  <c r="K35" i="5"/>
  <c r="K15" i="5"/>
  <c r="AC15" i="5"/>
  <c r="W15" i="5"/>
  <c r="V15" i="5"/>
  <c r="AB14" i="5"/>
  <c r="AD14" i="5"/>
  <c r="X14" i="5"/>
  <c r="T14" i="5"/>
  <c r="S14" i="5"/>
  <c r="Y14" i="5"/>
  <c r="R14" i="5"/>
  <c r="Q14" i="5"/>
  <c r="AB13" i="5"/>
  <c r="AD13" i="5"/>
  <c r="X13" i="5"/>
  <c r="W13" i="5"/>
  <c r="T13" i="5"/>
  <c r="S13" i="5"/>
  <c r="U13" i="5"/>
  <c r="R13" i="5"/>
  <c r="Q13" i="5"/>
  <c r="AB12" i="5"/>
  <c r="AD12" i="5"/>
  <c r="V12" i="5"/>
  <c r="X12" i="5"/>
  <c r="T12" i="5"/>
  <c r="S12" i="5"/>
  <c r="Y12" i="5"/>
  <c r="R12" i="5"/>
  <c r="Q12" i="5"/>
  <c r="L12" i="5"/>
  <c r="K12" i="5"/>
  <c r="I12" i="5"/>
  <c r="H12" i="5"/>
  <c r="AD11" i="5"/>
  <c r="AC11" i="5"/>
  <c r="X11" i="5"/>
  <c r="W11" i="5"/>
  <c r="T11" i="5"/>
  <c r="S11" i="5"/>
  <c r="U11" i="5"/>
  <c r="R11" i="5"/>
  <c r="Q11" i="5"/>
  <c r="L11" i="5"/>
  <c r="K11" i="5"/>
  <c r="I11" i="5"/>
  <c r="H11" i="5"/>
  <c r="AB10" i="5"/>
  <c r="AD10" i="5"/>
  <c r="X10" i="5"/>
  <c r="W10" i="5"/>
  <c r="T10" i="5"/>
  <c r="S10" i="5"/>
  <c r="U10" i="5"/>
  <c r="R10" i="5"/>
  <c r="Q10" i="5"/>
  <c r="L10" i="5"/>
  <c r="K10" i="5"/>
  <c r="I10" i="5"/>
  <c r="H10" i="5"/>
  <c r="X9" i="5"/>
  <c r="W9" i="5"/>
  <c r="T9" i="5"/>
  <c r="S9" i="5"/>
  <c r="U9" i="5"/>
  <c r="R9" i="5"/>
  <c r="Q9" i="5"/>
  <c r="L9" i="5"/>
  <c r="K9" i="5"/>
  <c r="I9" i="5"/>
  <c r="H9" i="5"/>
  <c r="X8" i="5"/>
  <c r="W8" i="5"/>
  <c r="T8" i="5"/>
  <c r="S8" i="5"/>
  <c r="U8" i="5"/>
  <c r="R8" i="5"/>
  <c r="Q8" i="5"/>
  <c r="L8" i="5"/>
  <c r="K8" i="5"/>
  <c r="I8" i="5"/>
  <c r="H8" i="5"/>
  <c r="AB7" i="5"/>
  <c r="AD7" i="5"/>
  <c r="V7" i="5"/>
  <c r="X7" i="5"/>
  <c r="T7" i="5"/>
  <c r="T6" i="5"/>
  <c r="S7" i="5"/>
  <c r="Y7" i="5"/>
  <c r="R7" i="5"/>
  <c r="R6" i="5"/>
  <c r="Q7" i="5"/>
  <c r="L7" i="5"/>
  <c r="L6" i="5"/>
  <c r="K7" i="5"/>
  <c r="I7" i="5"/>
  <c r="I6" i="5"/>
  <c r="H7" i="5"/>
  <c r="V6" i="5"/>
  <c r="V51" i="5"/>
  <c r="Q6" i="5"/>
  <c r="P6" i="5"/>
  <c r="N6" i="5"/>
  <c r="M6" i="5"/>
  <c r="J6" i="5"/>
  <c r="H6" i="5"/>
  <c r="G6" i="5"/>
  <c r="AT2" i="5"/>
  <c r="AT49" i="5" s="1"/>
  <c r="AQ2" i="5"/>
  <c r="AQ13" i="5" s="1"/>
  <c r="AH2" i="5"/>
  <c r="AH41" i="5" s="1"/>
  <c r="R51" i="5"/>
  <c r="S6" i="5"/>
  <c r="K6" i="5"/>
  <c r="T40" i="5"/>
  <c r="AC40" i="5"/>
  <c r="T41" i="5"/>
  <c r="T49" i="5"/>
  <c r="T47" i="5"/>
  <c r="Y49" i="5"/>
  <c r="AA49" i="5"/>
  <c r="AC7" i="5"/>
  <c r="AC10" i="5"/>
  <c r="AC14" i="5"/>
  <c r="H17" i="5"/>
  <c r="M17" i="5"/>
  <c r="P16" i="5"/>
  <c r="P35" i="5"/>
  <c r="P15" i="5"/>
  <c r="P51" i="5"/>
  <c r="T39" i="5"/>
  <c r="G16" i="5"/>
  <c r="G35" i="5"/>
  <c r="G15" i="5"/>
  <c r="G51" i="5"/>
  <c r="K51" i="5"/>
  <c r="E16" i="5"/>
  <c r="E35" i="5"/>
  <c r="E15" i="5"/>
  <c r="M16" i="5"/>
  <c r="N16" i="5"/>
  <c r="F16" i="5"/>
  <c r="AW7" i="5"/>
  <c r="AZ7" i="5"/>
  <c r="R159" i="1"/>
  <c r="R164" i="1"/>
  <c r="AF6" i="5"/>
  <c r="AF51" i="5"/>
  <c r="AG6" i="5"/>
  <c r="AG51" i="5"/>
  <c r="M35" i="5"/>
  <c r="S35" i="5"/>
  <c r="Y35" i="5"/>
  <c r="F35" i="5"/>
  <c r="F15" i="5"/>
  <c r="F51" i="5"/>
  <c r="J51" i="5"/>
  <c r="L51" i="5"/>
  <c r="Z7" i="5"/>
  <c r="AA7" i="5"/>
  <c r="AA14" i="5"/>
  <c r="Z14" i="5"/>
  <c r="Z12" i="5"/>
  <c r="AA12" i="5"/>
  <c r="X6" i="5"/>
  <c r="U7" i="5"/>
  <c r="W7" i="5"/>
  <c r="Y8" i="5"/>
  <c r="Y9" i="5"/>
  <c r="Y10" i="5"/>
  <c r="Y11" i="5"/>
  <c r="U12" i="5"/>
  <c r="W12" i="5"/>
  <c r="AC12" i="5"/>
  <c r="Y13" i="5"/>
  <c r="AC13" i="5"/>
  <c r="H16" i="5"/>
  <c r="U35" i="5"/>
  <c r="Q16" i="5"/>
  <c r="K17" i="5"/>
  <c r="L17" i="5"/>
  <c r="AA38" i="5"/>
  <c r="Z38" i="5"/>
  <c r="AA43" i="5"/>
  <c r="Z43" i="5"/>
  <c r="U14" i="5"/>
  <c r="I16" i="5"/>
  <c r="Y17" i="5"/>
  <c r="Y16" i="5"/>
  <c r="S17" i="5"/>
  <c r="S16" i="5"/>
  <c r="AA42" i="5"/>
  <c r="AB42" i="5"/>
  <c r="Z42" i="5"/>
  <c r="T37" i="5"/>
  <c r="AA37" i="5"/>
  <c r="U38" i="5"/>
  <c r="Y39" i="5"/>
  <c r="AC39" i="5"/>
  <c r="Y40" i="5"/>
  <c r="X41" i="5"/>
  <c r="AD41" i="5"/>
  <c r="U42" i="5"/>
  <c r="U43" i="5"/>
  <c r="AD43" i="5"/>
  <c r="AA44" i="5"/>
  <c r="Z44" i="5"/>
  <c r="T38" i="5"/>
  <c r="U41" i="5"/>
  <c r="AC41" i="5"/>
  <c r="T42" i="5"/>
  <c r="T43" i="5"/>
  <c r="AC43" i="5"/>
  <c r="AD49" i="5"/>
  <c r="AD47" i="5"/>
  <c r="AC49" i="5"/>
  <c r="AC47" i="5"/>
  <c r="AB47" i="5"/>
  <c r="U44" i="5"/>
  <c r="AD44" i="5"/>
  <c r="U45" i="5"/>
  <c r="AC45" i="5"/>
  <c r="T46" i="5"/>
  <c r="Y46" i="5"/>
  <c r="AC46" i="5"/>
  <c r="U49" i="5"/>
  <c r="U47" i="5"/>
  <c r="W49" i="5"/>
  <c r="W47" i="5"/>
  <c r="T44" i="5"/>
  <c r="AC44" i="5"/>
  <c r="T45" i="5"/>
  <c r="X49" i="5"/>
  <c r="X47" i="5"/>
  <c r="M15" i="5"/>
  <c r="M51" i="5"/>
  <c r="O16" i="5"/>
  <c r="Y6" i="5"/>
  <c r="R163" i="2"/>
  <c r="R157" i="1"/>
  <c r="R161" i="2"/>
  <c r="T35" i="5"/>
  <c r="N35" i="5"/>
  <c r="N15" i="5"/>
  <c r="N51" i="5"/>
  <c r="R165" i="1"/>
  <c r="R169" i="2"/>
  <c r="R168" i="2"/>
  <c r="AJ37" i="5"/>
  <c r="AJ17" i="5"/>
  <c r="Z40" i="5"/>
  <c r="AA40" i="5"/>
  <c r="U16" i="5"/>
  <c r="U15" i="5"/>
  <c r="T16" i="5"/>
  <c r="T15" i="5"/>
  <c r="T51" i="5"/>
  <c r="S15" i="5"/>
  <c r="S51" i="5"/>
  <c r="I35" i="5"/>
  <c r="I15" i="5"/>
  <c r="I51" i="5"/>
  <c r="T163" i="2"/>
  <c r="Q35" i="5"/>
  <c r="Q15" i="5"/>
  <c r="Q51" i="5"/>
  <c r="AA35" i="5"/>
  <c r="Z35" i="5"/>
  <c r="R146" i="2"/>
  <c r="Z13" i="5"/>
  <c r="AA13" i="5"/>
  <c r="R143" i="2"/>
  <c r="AB9" i="5"/>
  <c r="Z9" i="5"/>
  <c r="AA9" i="5"/>
  <c r="R140" i="2"/>
  <c r="U6" i="5"/>
  <c r="U51" i="5"/>
  <c r="Z49" i="5"/>
  <c r="Z47" i="5"/>
  <c r="Y47" i="5"/>
  <c r="AA47" i="5"/>
  <c r="AH47" i="5"/>
  <c r="AJ47" i="5"/>
  <c r="R170" i="2"/>
  <c r="R173" i="2" s="1"/>
  <c r="R167" i="2"/>
  <c r="R163" i="1"/>
  <c r="R158" i="1"/>
  <c r="R162" i="2"/>
  <c r="Z39" i="5"/>
  <c r="AA39" i="5"/>
  <c r="R166" i="2"/>
  <c r="R162" i="1"/>
  <c r="AC42" i="5"/>
  <c r="AD42" i="5"/>
  <c r="Z16" i="5"/>
  <c r="AA16" i="5"/>
  <c r="Y15" i="5"/>
  <c r="R147" i="2"/>
  <c r="AJ11" i="5"/>
  <c r="R144" i="2"/>
  <c r="R140" i="1"/>
  <c r="R164" i="2"/>
  <c r="R160" i="1"/>
  <c r="O35" i="5"/>
  <c r="O15" i="5"/>
  <c r="H35" i="5"/>
  <c r="H15" i="5"/>
  <c r="H51" i="5"/>
  <c r="R145" i="2"/>
  <c r="Z11" i="5"/>
  <c r="AA11" i="5"/>
  <c r="Z10" i="5"/>
  <c r="AA10" i="5"/>
  <c r="AB8" i="5"/>
  <c r="Z8" i="5"/>
  <c r="AA8" i="5"/>
  <c r="W6" i="5"/>
  <c r="W51" i="5"/>
  <c r="X51" i="5"/>
  <c r="Z6" i="5"/>
  <c r="Y51" i="5"/>
  <c r="Z15" i="5"/>
  <c r="Z51" i="5"/>
  <c r="AA15" i="5"/>
  <c r="AA6" i="5"/>
  <c r="T161" i="2"/>
  <c r="T140" i="1"/>
  <c r="T144" i="2"/>
  <c r="R165" i="2"/>
  <c r="R161" i="1"/>
  <c r="T166" i="2"/>
  <c r="T162" i="2"/>
  <c r="T167" i="2"/>
  <c r="AD9" i="5"/>
  <c r="AC9" i="5"/>
  <c r="T146" i="2"/>
  <c r="AW40" i="5"/>
  <c r="T169" i="2"/>
  <c r="AD8" i="5"/>
  <c r="AC8" i="5"/>
  <c r="AC6" i="5"/>
  <c r="AC51" i="5"/>
  <c r="AB6" i="5"/>
  <c r="AB51" i="5"/>
  <c r="T145" i="2"/>
  <c r="T164" i="2"/>
  <c r="T147" i="2"/>
  <c r="T170" i="2"/>
  <c r="T173" i="2" s="1"/>
  <c r="T140" i="2"/>
  <c r="T143" i="2"/>
  <c r="T168" i="2"/>
  <c r="AD6" i="5"/>
  <c r="AD51" i="5"/>
  <c r="AA51" i="5"/>
  <c r="AW38" i="5"/>
  <c r="AU38" i="5"/>
  <c r="W157" i="1"/>
  <c r="W173" i="2"/>
  <c r="AW14" i="5"/>
  <c r="AW46" i="5"/>
  <c r="AZ40" i="5"/>
  <c r="Y159" i="1"/>
  <c r="AW13" i="5"/>
  <c r="AW10" i="5"/>
  <c r="AW45" i="5"/>
  <c r="AW41" i="5"/>
  <c r="AW12" i="5"/>
  <c r="AC61" i="5"/>
  <c r="AC60" i="5"/>
  <c r="R141" i="2"/>
  <c r="AH6" i="5"/>
  <c r="R138" i="1"/>
  <c r="R135" i="1" s="1"/>
  <c r="R142" i="2"/>
  <c r="AW44" i="5"/>
  <c r="AW39" i="5"/>
  <c r="AW43" i="5"/>
  <c r="T165" i="2"/>
  <c r="AV11" i="5"/>
  <c r="AW11" i="5"/>
  <c r="AU11" i="5"/>
  <c r="AX38" i="5"/>
  <c r="Y157" i="1"/>
  <c r="AZ38" i="5"/>
  <c r="AY38" i="5"/>
  <c r="Y161" i="2"/>
  <c r="AZ12" i="5"/>
  <c r="AZ41" i="5"/>
  <c r="Y160" i="1"/>
  <c r="AZ45" i="5"/>
  <c r="Y164" i="1"/>
  <c r="AZ13" i="5"/>
  <c r="AA159" i="1"/>
  <c r="AZ46" i="5"/>
  <c r="Y165" i="1"/>
  <c r="AZ14" i="5"/>
  <c r="AZ11" i="5"/>
  <c r="AX11" i="5"/>
  <c r="AY11" i="5"/>
  <c r="AW42" i="5"/>
  <c r="AZ43" i="5"/>
  <c r="Y162" i="1"/>
  <c r="AZ39" i="5"/>
  <c r="Y158" i="1"/>
  <c r="AZ44" i="5"/>
  <c r="Y163" i="1"/>
  <c r="T142" i="2"/>
  <c r="T138" i="1"/>
  <c r="T135" i="1" s="1"/>
  <c r="AJ6" i="5"/>
  <c r="AZ10" i="5"/>
  <c r="T141" i="2"/>
  <c r="BB38" i="5"/>
  <c r="BA38" i="5"/>
  <c r="AA157" i="1"/>
  <c r="AW8" i="5"/>
  <c r="AT6" i="5"/>
  <c r="AW9" i="5"/>
  <c r="AV9" i="5"/>
  <c r="AA163" i="1"/>
  <c r="AA158" i="1"/>
  <c r="AA162" i="1"/>
  <c r="AZ42" i="5"/>
  <c r="Y161" i="1"/>
  <c r="BB11" i="5"/>
  <c r="BA11" i="5"/>
  <c r="AA165" i="1"/>
  <c r="AA164" i="1"/>
  <c r="AA160" i="1"/>
  <c r="AA161" i="1"/>
  <c r="AU6" i="5"/>
  <c r="AY9" i="5"/>
  <c r="AZ9" i="5"/>
  <c r="AX9" i="5"/>
  <c r="AV6" i="5"/>
  <c r="AZ8" i="5"/>
  <c r="AW6" i="5"/>
  <c r="AX6" i="5"/>
  <c r="AY6" i="5"/>
  <c r="AZ6" i="5"/>
  <c r="BA9" i="5"/>
  <c r="BB9" i="5"/>
  <c r="BA6" i="5"/>
  <c r="BB6" i="5"/>
  <c r="N176" i="2"/>
  <c r="N329" i="2"/>
  <c r="N170" i="2"/>
  <c r="O170" i="2"/>
  <c r="O182" i="1"/>
  <c r="N171" i="1"/>
  <c r="O171" i="1"/>
  <c r="N166" i="1"/>
  <c r="O166" i="1" s="1"/>
  <c r="Q135" i="1"/>
  <c r="N144" i="1"/>
  <c r="O144" i="1"/>
  <c r="N325" i="1"/>
  <c r="Q19" i="3"/>
  <c r="D21" i="19" s="1"/>
  <c r="D18" i="19" s="1"/>
  <c r="J63" i="4"/>
  <c r="K63" i="4" s="1"/>
  <c r="L63" i="4" s="1"/>
  <c r="L52" i="4"/>
  <c r="X63" i="4"/>
  <c r="Y63" i="4" s="1"/>
  <c r="Z63" i="4" s="1"/>
  <c r="S63" i="4"/>
  <c r="T63" i="4" s="1"/>
  <c r="W63" i="4" s="1"/>
  <c r="M63" i="4"/>
  <c r="N63" i="4" s="1"/>
  <c r="O63" i="4" s="1"/>
  <c r="G63" i="4"/>
  <c r="G64" i="4" s="1"/>
  <c r="I51" i="4"/>
  <c r="G51" i="4"/>
  <c r="O35" i="4"/>
  <c r="F35" i="4"/>
  <c r="F32" i="4" s="1"/>
  <c r="E35" i="4"/>
  <c r="E32" i="4" s="1"/>
  <c r="Y32" i="4"/>
  <c r="N32" i="4"/>
  <c r="M32" i="4"/>
  <c r="J32" i="4"/>
  <c r="I32" i="4"/>
  <c r="K32" i="4" s="1"/>
  <c r="H32" i="4"/>
  <c r="G32" i="4"/>
  <c r="M30" i="4"/>
  <c r="I30" i="4"/>
  <c r="G30" i="4"/>
  <c r="E30" i="4"/>
  <c r="M27" i="4"/>
  <c r="K27" i="4"/>
  <c r="Z23" i="4"/>
  <c r="X23" i="4"/>
  <c r="T23" i="4"/>
  <c r="M22" i="4"/>
  <c r="M20" i="4" s="1"/>
  <c r="J22" i="4"/>
  <c r="R20" i="4"/>
  <c r="T20" i="4" s="1"/>
  <c r="X20" i="4" s="1"/>
  <c r="Z20" i="4" s="1"/>
  <c r="K20" i="4"/>
  <c r="K22" i="4" s="1"/>
  <c r="Z17" i="4"/>
  <c r="X17" i="4"/>
  <c r="R15" i="4"/>
  <c r="T16" i="4"/>
  <c r="X16" i="4" s="1"/>
  <c r="Y63" i="3"/>
  <c r="Z63" i="3" s="1"/>
  <c r="AA63" i="3" s="1"/>
  <c r="T63" i="3"/>
  <c r="U63" i="3" s="1"/>
  <c r="X63" i="3" s="1"/>
  <c r="R63" i="3"/>
  <c r="S63" i="3" s="1"/>
  <c r="J63" i="3"/>
  <c r="K63" i="3" s="1"/>
  <c r="L63" i="3" s="1"/>
  <c r="L52" i="3"/>
  <c r="M63" i="3"/>
  <c r="N63" i="3" s="1"/>
  <c r="P63" i="3" s="1"/>
  <c r="G63" i="3"/>
  <c r="G64" i="3" s="1"/>
  <c r="G51" i="3"/>
  <c r="E33" i="3"/>
  <c r="N33" i="3"/>
  <c r="M33" i="3"/>
  <c r="J33" i="3"/>
  <c r="I33" i="3"/>
  <c r="K33" i="3" s="1"/>
  <c r="H33" i="3"/>
  <c r="G33" i="3"/>
  <c r="F33" i="3"/>
  <c r="M31" i="3"/>
  <c r="I31" i="3"/>
  <c r="H31" i="3"/>
  <c r="G31" i="3"/>
  <c r="AA30" i="3"/>
  <c r="N30" i="3"/>
  <c r="M30" i="3"/>
  <c r="J30" i="3"/>
  <c r="H30" i="3"/>
  <c r="G30" i="3"/>
  <c r="F30" i="3"/>
  <c r="F29" i="3" s="1"/>
  <c r="E29" i="3"/>
  <c r="K28" i="3"/>
  <c r="AA26" i="3"/>
  <c r="Y26" i="3"/>
  <c r="S26" i="3"/>
  <c r="AA23" i="3"/>
  <c r="N22" i="3"/>
  <c r="N20" i="3" s="1"/>
  <c r="M22" i="3"/>
  <c r="M20" i="3" s="1"/>
  <c r="J22" i="3"/>
  <c r="J20" i="3" s="1"/>
  <c r="K20" i="3"/>
  <c r="K22" i="3" s="1"/>
  <c r="S15" i="3"/>
  <c r="I9" i="3"/>
  <c r="AB343" i="2"/>
  <c r="AA343" i="2"/>
  <c r="Z343" i="2"/>
  <c r="Y343" i="2"/>
  <c r="X343" i="2"/>
  <c r="W343" i="2"/>
  <c r="U343" i="2"/>
  <c r="T343" i="2"/>
  <c r="Q343" i="2"/>
  <c r="P343" i="2"/>
  <c r="M343" i="2"/>
  <c r="L343" i="2"/>
  <c r="K343" i="2"/>
  <c r="J343" i="2"/>
  <c r="I343" i="2"/>
  <c r="H343" i="2"/>
  <c r="G343" i="2"/>
  <c r="F343" i="2"/>
  <c r="AB342" i="2"/>
  <c r="AA342" i="2"/>
  <c r="Z342" i="2"/>
  <c r="Y342" i="2"/>
  <c r="X342" i="2"/>
  <c r="W342" i="2"/>
  <c r="U342" i="2"/>
  <c r="T342" i="2"/>
  <c r="Q342" i="2"/>
  <c r="P342" i="2"/>
  <c r="M342" i="2"/>
  <c r="L342" i="2"/>
  <c r="K342" i="2"/>
  <c r="J342" i="2"/>
  <c r="I342" i="2"/>
  <c r="H342" i="2"/>
  <c r="G342" i="2"/>
  <c r="F342" i="2"/>
  <c r="AB341" i="2"/>
  <c r="AA341" i="2"/>
  <c r="Z341" i="2"/>
  <c r="Y341" i="2"/>
  <c r="X341" i="2"/>
  <c r="W341" i="2"/>
  <c r="U341" i="2"/>
  <c r="T341" i="2"/>
  <c r="Q341" i="2"/>
  <c r="P341" i="2"/>
  <c r="M341" i="2"/>
  <c r="L341" i="2"/>
  <c r="K341" i="2"/>
  <c r="J341" i="2"/>
  <c r="I341" i="2"/>
  <c r="H341" i="2"/>
  <c r="G341" i="2"/>
  <c r="F341" i="2"/>
  <c r="AB340" i="2"/>
  <c r="U340" i="2"/>
  <c r="Q340" i="2"/>
  <c r="P340" i="2"/>
  <c r="M340" i="2"/>
  <c r="L340" i="2"/>
  <c r="K340" i="2"/>
  <c r="J340" i="2"/>
  <c r="I340" i="2"/>
  <c r="H340" i="2"/>
  <c r="F340" i="2"/>
  <c r="AB335" i="2"/>
  <c r="AB337" i="2"/>
  <c r="AA335" i="2"/>
  <c r="AA337" i="2"/>
  <c r="Z335" i="2"/>
  <c r="Z337" i="2"/>
  <c r="Y335" i="2"/>
  <c r="Y337" i="2"/>
  <c r="X335" i="2"/>
  <c r="X337" i="2"/>
  <c r="W335" i="2"/>
  <c r="W337" i="2"/>
  <c r="U335" i="2"/>
  <c r="U337" i="2"/>
  <c r="T335" i="2"/>
  <c r="T337" i="2"/>
  <c r="Q335" i="2"/>
  <c r="Q337" i="2"/>
  <c r="P335" i="2"/>
  <c r="P337" i="2"/>
  <c r="M335" i="2"/>
  <c r="M337" i="2"/>
  <c r="L335" i="2"/>
  <c r="L337" i="2"/>
  <c r="K335" i="2"/>
  <c r="K337" i="2"/>
  <c r="J335" i="2"/>
  <c r="J337" i="2"/>
  <c r="I335" i="2"/>
  <c r="I337" i="2"/>
  <c r="H335" i="2"/>
  <c r="H337" i="2"/>
  <c r="G335" i="2"/>
  <c r="G337" i="2"/>
  <c r="F335" i="2"/>
  <c r="F337" i="2"/>
  <c r="H330" i="2"/>
  <c r="P327" i="2"/>
  <c r="H30" i="4"/>
  <c r="M28" i="4"/>
  <c r="G28" i="4"/>
  <c r="AB330" i="2"/>
  <c r="Z330" i="2"/>
  <c r="X330" i="2"/>
  <c r="AB329" i="2"/>
  <c r="X329" i="2"/>
  <c r="W329" i="2"/>
  <c r="P329" i="2"/>
  <c r="I27" i="4"/>
  <c r="Z329" i="2"/>
  <c r="Y329" i="2"/>
  <c r="U329" i="2"/>
  <c r="T329" i="2"/>
  <c r="M329" i="2"/>
  <c r="L329" i="2"/>
  <c r="K329" i="2"/>
  <c r="F27" i="4"/>
  <c r="R11" i="4"/>
  <c r="J26" i="4"/>
  <c r="F26" i="4"/>
  <c r="E26" i="4"/>
  <c r="AB328" i="2"/>
  <c r="Z328" i="2"/>
  <c r="M328" i="2"/>
  <c r="I328" i="2"/>
  <c r="M19" i="4"/>
  <c r="J19" i="4"/>
  <c r="J9" i="4" s="1"/>
  <c r="I19" i="4"/>
  <c r="I9" i="4" s="1"/>
  <c r="H19" i="4"/>
  <c r="H9" i="4" s="1"/>
  <c r="G19" i="4"/>
  <c r="G9" i="4" s="1"/>
  <c r="F19" i="4"/>
  <c r="E19" i="4"/>
  <c r="E9" i="4" s="1"/>
  <c r="K328" i="2"/>
  <c r="J328" i="2"/>
  <c r="G328" i="2"/>
  <c r="F328" i="2"/>
  <c r="P9" i="2"/>
  <c r="H9" i="2"/>
  <c r="F9" i="2"/>
  <c r="L9" i="2"/>
  <c r="L8" i="2" s="1"/>
  <c r="J9" i="2"/>
  <c r="D7" i="2"/>
  <c r="AB335" i="1"/>
  <c r="Z335" i="1"/>
  <c r="U335" i="1"/>
  <c r="Q335" i="1"/>
  <c r="P335" i="1"/>
  <c r="M335" i="1"/>
  <c r="J335" i="1"/>
  <c r="I335" i="1"/>
  <c r="H335" i="1"/>
  <c r="G335" i="1"/>
  <c r="F335" i="1"/>
  <c r="D335" i="1"/>
  <c r="AB331" i="1"/>
  <c r="AB333" i="1"/>
  <c r="AA331" i="1"/>
  <c r="AA333" i="1"/>
  <c r="Z331" i="1"/>
  <c r="Z333" i="1"/>
  <c r="Y331" i="1"/>
  <c r="Y333" i="1"/>
  <c r="X331" i="1"/>
  <c r="X333" i="1"/>
  <c r="W331" i="1"/>
  <c r="W333" i="1"/>
  <c r="U331" i="1"/>
  <c r="U333" i="1"/>
  <c r="T331" i="1"/>
  <c r="T333" i="1"/>
  <c r="Q331" i="1"/>
  <c r="Q333" i="1"/>
  <c r="P331" i="1"/>
  <c r="P333" i="1"/>
  <c r="M331" i="1"/>
  <c r="M333" i="1"/>
  <c r="L331" i="1"/>
  <c r="L333" i="1"/>
  <c r="K331" i="1"/>
  <c r="K333" i="1"/>
  <c r="J331" i="1"/>
  <c r="J333" i="1"/>
  <c r="I331" i="1"/>
  <c r="I333" i="1"/>
  <c r="H331" i="1"/>
  <c r="H333" i="1"/>
  <c r="G331" i="1"/>
  <c r="G333" i="1"/>
  <c r="F331" i="1"/>
  <c r="F333" i="1"/>
  <c r="H323" i="1"/>
  <c r="L326" i="1"/>
  <c r="H326" i="1"/>
  <c r="F326" i="1"/>
  <c r="I30" i="3"/>
  <c r="AB326" i="1"/>
  <c r="Z326" i="1"/>
  <c r="U326" i="1"/>
  <c r="I326" i="1"/>
  <c r="G326" i="1"/>
  <c r="Z325" i="1"/>
  <c r="U325" i="1"/>
  <c r="AB325" i="1"/>
  <c r="X325" i="1"/>
  <c r="K325" i="1"/>
  <c r="I28" i="3"/>
  <c r="E28" i="3"/>
  <c r="J323" i="1"/>
  <c r="Z26" i="3"/>
  <c r="M26" i="3"/>
  <c r="I26" i="3"/>
  <c r="G26" i="3"/>
  <c r="E26" i="3"/>
  <c r="AB16" i="1"/>
  <c r="AB324" i="1"/>
  <c r="J16" i="1"/>
  <c r="J324" i="1"/>
  <c r="M9" i="1"/>
  <c r="L9" i="1"/>
  <c r="I9" i="1"/>
  <c r="H9" i="1"/>
  <c r="AB9" i="1"/>
  <c r="Q9" i="1"/>
  <c r="Q351" i="1" s="1"/>
  <c r="P9" i="1"/>
  <c r="K9" i="1"/>
  <c r="J9" i="1"/>
  <c r="G9" i="1"/>
  <c r="F9" i="1"/>
  <c r="G7" i="1"/>
  <c r="H7" i="1"/>
  <c r="I7" i="1"/>
  <c r="J7" i="1"/>
  <c r="K7" i="1"/>
  <c r="L7" i="1"/>
  <c r="M7" i="1"/>
  <c r="D7" i="1"/>
  <c r="Q6" i="1"/>
  <c r="P6" i="1"/>
  <c r="M6" i="1"/>
  <c r="L6" i="1"/>
  <c r="K6" i="1"/>
  <c r="J6" i="1"/>
  <c r="I6" i="1"/>
  <c r="H6" i="1"/>
  <c r="G6" i="1"/>
  <c r="F6" i="1"/>
  <c r="N57" i="8"/>
  <c r="O17" i="2"/>
  <c r="N15" i="2"/>
  <c r="L3" i="1"/>
  <c r="P7" i="1"/>
  <c r="Q7" i="1"/>
  <c r="T7" i="1"/>
  <c r="U7" i="1"/>
  <c r="W7" i="1"/>
  <c r="X7" i="1"/>
  <c r="Y7" i="1"/>
  <c r="Z7" i="1"/>
  <c r="AA7" i="1"/>
  <c r="AB7" i="1"/>
  <c r="N7" i="1"/>
  <c r="F327" i="2"/>
  <c r="G329" i="2"/>
  <c r="J329" i="2"/>
  <c r="E19" i="3"/>
  <c r="E9" i="3" s="1"/>
  <c r="F16" i="1"/>
  <c r="F324" i="1"/>
  <c r="P16" i="1"/>
  <c r="P324" i="1"/>
  <c r="F19" i="3"/>
  <c r="F9" i="3" s="1"/>
  <c r="G16" i="1"/>
  <c r="G324" i="1"/>
  <c r="J19" i="3"/>
  <c r="J9" i="3" s="1"/>
  <c r="K16" i="1"/>
  <c r="K324" i="1"/>
  <c r="Q16" i="1"/>
  <c r="P322" i="1"/>
  <c r="G28" i="3"/>
  <c r="H325" i="1"/>
  <c r="M28" i="3"/>
  <c r="L325" i="1"/>
  <c r="J322" i="1"/>
  <c r="F322" i="1"/>
  <c r="H322" i="1"/>
  <c r="L322" i="1"/>
  <c r="H28" i="3"/>
  <c r="I325" i="1"/>
  <c r="N28" i="3"/>
  <c r="M325" i="1"/>
  <c r="I322" i="1"/>
  <c r="G322" i="1"/>
  <c r="F8" i="2"/>
  <c r="F26" i="3"/>
  <c r="G323" i="1"/>
  <c r="J26" i="3"/>
  <c r="K323" i="1"/>
  <c r="U324" i="1"/>
  <c r="F28" i="3"/>
  <c r="G325" i="1"/>
  <c r="G342" i="1" s="1"/>
  <c r="P325" i="1"/>
  <c r="G9" i="2"/>
  <c r="K9" i="2"/>
  <c r="K8" i="2" s="1"/>
  <c r="Q9" i="2"/>
  <c r="T354" i="2"/>
  <c r="X9" i="2"/>
  <c r="H26" i="4"/>
  <c r="E28" i="4"/>
  <c r="F330" i="2"/>
  <c r="H28" i="4"/>
  <c r="I330" i="2"/>
  <c r="J8" i="1"/>
  <c r="H26" i="3"/>
  <c r="I323" i="1"/>
  <c r="N26" i="3"/>
  <c r="M323" i="1"/>
  <c r="K322" i="1"/>
  <c r="Q322" i="1"/>
  <c r="M322" i="1"/>
  <c r="L323" i="1"/>
  <c r="L328" i="2"/>
  <c r="Q328" i="2"/>
  <c r="F326" i="2"/>
  <c r="P326" i="2"/>
  <c r="H27" i="4"/>
  <c r="I329" i="2"/>
  <c r="AB322" i="1"/>
  <c r="AB328" i="1"/>
  <c r="AB332" i="1" s="1"/>
  <c r="Q325" i="1"/>
  <c r="F325" i="1"/>
  <c r="AA325" i="1"/>
  <c r="L326" i="2"/>
  <c r="AB9" i="2"/>
  <c r="G27" i="4"/>
  <c r="H329" i="2"/>
  <c r="AB8" i="1"/>
  <c r="J31" i="3"/>
  <c r="K326" i="1"/>
  <c r="F323" i="1"/>
  <c r="P323" i="1"/>
  <c r="J325" i="1"/>
  <c r="I9" i="2"/>
  <c r="I8" i="2" s="1"/>
  <c r="M9" i="2"/>
  <c r="M8" i="2"/>
  <c r="Z199" i="2"/>
  <c r="H328" i="2"/>
  <c r="P328" i="2"/>
  <c r="K327" i="2"/>
  <c r="I28" i="4"/>
  <c r="K30" i="4" s="1"/>
  <c r="K28" i="4" s="1"/>
  <c r="J330" i="2"/>
  <c r="I26" i="4"/>
  <c r="J327" i="2"/>
  <c r="E27" i="4"/>
  <c r="F329" i="2"/>
  <c r="I327" i="2"/>
  <c r="M327" i="2"/>
  <c r="F30" i="4"/>
  <c r="F28" i="4"/>
  <c r="G330" i="2"/>
  <c r="J30" i="4"/>
  <c r="J326" i="1"/>
  <c r="Y26" i="4"/>
  <c r="AC38" i="4"/>
  <c r="R27" i="4"/>
  <c r="T27" i="4" s="1"/>
  <c r="X27" i="4" s="1"/>
  <c r="Z27" i="4" s="1"/>
  <c r="K31" i="3"/>
  <c r="K29" i="3" s="1"/>
  <c r="G327" i="2"/>
  <c r="G26" i="4"/>
  <c r="H327" i="2"/>
  <c r="M26" i="4"/>
  <c r="L327" i="2"/>
  <c r="L330" i="2"/>
  <c r="I51" i="3"/>
  <c r="F9" i="4"/>
  <c r="Q63" i="4"/>
  <c r="R63" i="4" s="1"/>
  <c r="N59" i="14"/>
  <c r="O15" i="2"/>
  <c r="N328" i="2"/>
  <c r="V17" i="8"/>
  <c r="N62" i="8"/>
  <c r="N115" i="1"/>
  <c r="O115" i="1" s="1"/>
  <c r="N111" i="1"/>
  <c r="N63" i="8"/>
  <c r="N119" i="2"/>
  <c r="N115" i="2" s="1"/>
  <c r="O115" i="2" s="1"/>
  <c r="Q324" i="1"/>
  <c r="Q8" i="1"/>
  <c r="K8" i="1"/>
  <c r="G8" i="1"/>
  <c r="F8" i="1"/>
  <c r="P8" i="1"/>
  <c r="P194" i="1" s="1"/>
  <c r="P328" i="1" s="1"/>
  <c r="H332" i="2"/>
  <c r="H333" i="2" s="1"/>
  <c r="H336" i="2"/>
  <c r="F332" i="2"/>
  <c r="F336" i="2"/>
  <c r="G328" i="1"/>
  <c r="K328" i="1"/>
  <c r="K332" i="1"/>
  <c r="M326" i="2"/>
  <c r="AB326" i="2"/>
  <c r="AB329" i="1"/>
  <c r="Q326" i="2"/>
  <c r="P8" i="2"/>
  <c r="I332" i="2"/>
  <c r="I333" i="2" s="1"/>
  <c r="K326" i="2"/>
  <c r="K332" i="2"/>
  <c r="Z326" i="2"/>
  <c r="L332" i="2"/>
  <c r="M8" i="1"/>
  <c r="G326" i="2"/>
  <c r="G332" i="2"/>
  <c r="G8" i="2"/>
  <c r="F328" i="1"/>
  <c r="F329" i="1" s="1"/>
  <c r="J28" i="4"/>
  <c r="K330" i="2"/>
  <c r="N31" i="3"/>
  <c r="M326" i="1"/>
  <c r="H19" i="3"/>
  <c r="H9" i="3" s="1"/>
  <c r="I16" i="1"/>
  <c r="J332" i="2"/>
  <c r="G19" i="3"/>
  <c r="G9" i="3" s="1"/>
  <c r="H16" i="1"/>
  <c r="M19" i="3"/>
  <c r="M9" i="3" s="1"/>
  <c r="J328" i="1"/>
  <c r="J332" i="1" s="1"/>
  <c r="G329" i="1"/>
  <c r="F333" i="2"/>
  <c r="K329" i="1"/>
  <c r="X17" i="8"/>
  <c r="V57" i="8"/>
  <c r="O119" i="2"/>
  <c r="T115" i="1"/>
  <c r="T111" i="1"/>
  <c r="T119" i="2"/>
  <c r="T115" i="2"/>
  <c r="G332" i="1"/>
  <c r="H324" i="1"/>
  <c r="H328" i="1"/>
  <c r="H329" i="1" s="1"/>
  <c r="H8" i="1"/>
  <c r="L333" i="2"/>
  <c r="L336" i="2"/>
  <c r="F332" i="1"/>
  <c r="I336" i="2"/>
  <c r="J329" i="1"/>
  <c r="L324" i="1"/>
  <c r="L8" i="1"/>
  <c r="L194" i="1"/>
  <c r="G336" i="2"/>
  <c r="G333" i="2"/>
  <c r="K336" i="2"/>
  <c r="K333" i="2"/>
  <c r="I324" i="1"/>
  <c r="I328" i="1"/>
  <c r="I332" i="1" s="1"/>
  <c r="I8" i="1"/>
  <c r="M324" i="1"/>
  <c r="M330" i="2"/>
  <c r="M332" i="2"/>
  <c r="W115" i="2"/>
  <c r="Z17" i="8"/>
  <c r="Z57" i="8"/>
  <c r="X57" i="8"/>
  <c r="O111" i="1"/>
  <c r="L328" i="1"/>
  <c r="L329" i="1" s="1"/>
  <c r="M336" i="2"/>
  <c r="M333" i="2"/>
  <c r="I329" i="1"/>
  <c r="P326" i="1"/>
  <c r="P330" i="2"/>
  <c r="P332" i="2"/>
  <c r="P333" i="2"/>
  <c r="U12" i="3"/>
  <c r="M332" i="1"/>
  <c r="M329" i="1"/>
  <c r="R28" i="4"/>
  <c r="Q8" i="2"/>
  <c r="Q199" i="2" s="1"/>
  <c r="H332" i="1"/>
  <c r="AA115" i="2"/>
  <c r="X63" i="8"/>
  <c r="Y115" i="2"/>
  <c r="P336" i="2"/>
  <c r="Q326" i="1"/>
  <c r="Q323" i="1"/>
  <c r="T28" i="4"/>
  <c r="Q330" i="2"/>
  <c r="Q327" i="2"/>
  <c r="Q328" i="1"/>
  <c r="Q329" i="1"/>
  <c r="Q336" i="2"/>
  <c r="Q333" i="2"/>
  <c r="X28" i="4"/>
  <c r="Q332" i="1"/>
  <c r="P2" i="3"/>
  <c r="Z28" i="4"/>
  <c r="X8" i="2"/>
  <c r="AB327" i="2"/>
  <c r="AB8" i="2"/>
  <c r="AB333" i="2"/>
  <c r="AB336" i="2"/>
  <c r="R26" i="4"/>
  <c r="X26" i="4"/>
  <c r="Z26" i="4"/>
  <c r="O104" i="1"/>
  <c r="O46" i="14"/>
  <c r="O62" i="8"/>
  <c r="O63" i="8"/>
  <c r="R119" i="2"/>
  <c r="R115" i="2" s="1"/>
  <c r="N170" i="1"/>
  <c r="R170" i="1" s="1"/>
  <c r="R169" i="1" s="1"/>
  <c r="R323" i="1" s="1"/>
  <c r="Q46" i="14"/>
  <c r="O45" i="14"/>
  <c r="Q475" i="13"/>
  <c r="Q45" i="14"/>
  <c r="S46" i="14"/>
  <c r="R147" i="1"/>
  <c r="AH17" i="5"/>
  <c r="R149" i="2"/>
  <c r="T151" i="2"/>
  <c r="U475" i="13"/>
  <c r="S475" i="13"/>
  <c r="T13" i="2"/>
  <c r="S45" i="14"/>
  <c r="U46" i="14"/>
  <c r="U45" i="14"/>
  <c r="T149" i="2"/>
  <c r="T160" i="2"/>
  <c r="AH16" i="5"/>
  <c r="R145" i="1"/>
  <c r="R144" i="1" s="1"/>
  <c r="R156" i="1"/>
  <c r="AJ35" i="5"/>
  <c r="AQ17" i="5"/>
  <c r="AQ16" i="5"/>
  <c r="AJ15" i="5"/>
  <c r="AJ51" i="5"/>
  <c r="AI61" i="5"/>
  <c r="R160" i="2"/>
  <c r="AC14" i="1"/>
  <c r="AD14" i="1" s="1"/>
  <c r="AH35" i="5"/>
  <c r="AH15" i="5"/>
  <c r="AQ35" i="5"/>
  <c r="AQ15" i="5"/>
  <c r="AW19" i="5"/>
  <c r="AT17" i="5"/>
  <c r="AT16" i="5"/>
  <c r="T144" i="1"/>
  <c r="AV35" i="5"/>
  <c r="AT35" i="5"/>
  <c r="AT15" i="5"/>
  <c r="AW17" i="5"/>
  <c r="AW16" i="5"/>
  <c r="AZ19" i="5"/>
  <c r="AB170" i="1"/>
  <c r="AB169" i="1"/>
  <c r="AB323" i="1" s="1"/>
  <c r="AV15" i="5"/>
  <c r="AU15" i="5"/>
  <c r="AX35" i="5"/>
  <c r="AW35" i="5"/>
  <c r="AW15" i="5"/>
  <c r="AZ17" i="5"/>
  <c r="BA19" i="5"/>
  <c r="BA17" i="5"/>
  <c r="AX15" i="5"/>
  <c r="AY15" i="5"/>
  <c r="AZ16" i="5"/>
  <c r="AZ35" i="5"/>
  <c r="AZ15" i="5"/>
  <c r="BA35" i="5"/>
  <c r="AA156" i="1"/>
  <c r="BB35" i="5"/>
  <c r="Y156" i="1"/>
  <c r="Y144" i="1"/>
  <c r="BA15" i="5"/>
  <c r="AA144" i="1"/>
  <c r="BB15" i="5"/>
  <c r="S148" i="2"/>
  <c r="S138" i="2" s="1"/>
  <c r="W151" i="2"/>
  <c r="Y151" i="2" s="1"/>
  <c r="AA151" i="2" s="1"/>
  <c r="W149" i="2"/>
  <c r="W160" i="2" s="1"/>
  <c r="AA149" i="2"/>
  <c r="S199" i="13"/>
  <c r="S215" i="13"/>
  <c r="Y80" i="1"/>
  <c r="U215" i="13"/>
  <c r="AA80" i="1"/>
  <c r="N309" i="13"/>
  <c r="P309" i="13"/>
  <c r="R309" i="13"/>
  <c r="T309" i="13"/>
  <c r="V309" i="13"/>
  <c r="P62" i="8"/>
  <c r="Z332" i="2" l="1"/>
  <c r="Z347" i="2"/>
  <c r="Z349" i="2" s="1"/>
  <c r="Z333" i="2"/>
  <c r="Q37" i="14"/>
  <c r="N135" i="1"/>
  <c r="O135" i="1" s="1"/>
  <c r="W185" i="1"/>
  <c r="U135" i="1"/>
  <c r="U134" i="1" s="1"/>
  <c r="U351" i="1" s="1"/>
  <c r="N86" i="13"/>
  <c r="R134" i="1"/>
  <c r="AI53" i="5" s="1"/>
  <c r="Y81" i="1"/>
  <c r="U194" i="1"/>
  <c r="U328" i="1" s="1"/>
  <c r="U329" i="1" s="1"/>
  <c r="Y85" i="1"/>
  <c r="X89" i="1"/>
  <c r="AC89" i="1" s="1"/>
  <c r="Z101" i="1"/>
  <c r="Z89" i="1" s="1"/>
  <c r="Y20" i="1"/>
  <c r="X22" i="3" s="1"/>
  <c r="X20" i="3" s="1"/>
  <c r="V85" i="1"/>
  <c r="V81" i="1" s="1"/>
  <c r="V61" i="1"/>
  <c r="S85" i="1"/>
  <c r="S81" i="1" s="1"/>
  <c r="S16" i="1" s="1"/>
  <c r="S324" i="1" s="1"/>
  <c r="AC104" i="1"/>
  <c r="V135" i="1"/>
  <c r="AA62" i="1"/>
  <c r="V326" i="1"/>
  <c r="R217" i="1"/>
  <c r="P447" i="13"/>
  <c r="Z135" i="1"/>
  <c r="Z134" i="1" s="1"/>
  <c r="V62" i="1"/>
  <c r="P85" i="13"/>
  <c r="P86" i="13" s="1"/>
  <c r="T15" i="1"/>
  <c r="T9" i="1" s="1"/>
  <c r="T8" i="1" s="1"/>
  <c r="O86" i="13"/>
  <c r="M86" i="13"/>
  <c r="S447" i="13"/>
  <c r="O447" i="13"/>
  <c r="N298" i="13"/>
  <c r="N302" i="13" s="1"/>
  <c r="M298" i="13"/>
  <c r="M302" i="13" s="1"/>
  <c r="U20" i="3"/>
  <c r="U22" i="3" s="1"/>
  <c r="F342" i="1"/>
  <c r="Q342" i="1"/>
  <c r="Q345" i="1" s="1"/>
  <c r="L332" i="1"/>
  <c r="H342" i="1"/>
  <c r="I342" i="1"/>
  <c r="J342" i="1"/>
  <c r="R444" i="14"/>
  <c r="S444" i="14"/>
  <c r="U444" i="14" s="1"/>
  <c r="V112" i="2"/>
  <c r="Q298" i="14"/>
  <c r="T112" i="2"/>
  <c r="V63" i="2"/>
  <c r="S19" i="2"/>
  <c r="O22" i="4" s="1"/>
  <c r="O20" i="4" s="1"/>
  <c r="T106" i="2"/>
  <c r="Y19" i="2"/>
  <c r="W22" i="4" s="1"/>
  <c r="W20" i="4" s="1"/>
  <c r="AA19" i="2"/>
  <c r="Y22" i="4" s="1"/>
  <c r="Y20" i="4" s="1"/>
  <c r="Y62" i="2"/>
  <c r="AA62" i="2"/>
  <c r="W190" i="2"/>
  <c r="Y190" i="2" s="1"/>
  <c r="P440" i="14"/>
  <c r="S63" i="2"/>
  <c r="O300" i="14"/>
  <c r="Q439" i="14"/>
  <c r="O452" i="14"/>
  <c r="Q57" i="14"/>
  <c r="V14" i="2"/>
  <c r="V9" i="2" s="1"/>
  <c r="O58" i="14"/>
  <c r="O59" i="14" s="1"/>
  <c r="T14" i="2"/>
  <c r="T148" i="2"/>
  <c r="R148" i="2"/>
  <c r="T139" i="2"/>
  <c r="T138" i="2" s="1"/>
  <c r="R106" i="2"/>
  <c r="V120" i="2"/>
  <c r="W120" i="2"/>
  <c r="S9" i="2"/>
  <c r="S62" i="2"/>
  <c r="V19" i="2"/>
  <c r="Q22" i="4" s="1"/>
  <c r="Q20" i="4" s="1"/>
  <c r="T16" i="2" s="1"/>
  <c r="V60" i="2"/>
  <c r="W19" i="2"/>
  <c r="S22" i="4" s="1"/>
  <c r="S20" i="4" s="1"/>
  <c r="W63" i="2"/>
  <c r="W60" i="2"/>
  <c r="V108" i="2"/>
  <c r="V106" i="2" s="1"/>
  <c r="Q284" i="14"/>
  <c r="S297" i="14"/>
  <c r="Q299" i="14"/>
  <c r="O27" i="4"/>
  <c r="R139" i="2"/>
  <c r="R138" i="2" s="1"/>
  <c r="R326" i="2" s="1"/>
  <c r="X139" i="2"/>
  <c r="X138" i="2" s="1"/>
  <c r="X199" i="2" s="1"/>
  <c r="Y63" i="2"/>
  <c r="Y59" i="2" s="1"/>
  <c r="Y17" i="2" s="1"/>
  <c r="O37" i="14"/>
  <c r="S60" i="2"/>
  <c r="R15" i="2"/>
  <c r="R328" i="2" s="1"/>
  <c r="AA60" i="2"/>
  <c r="V329" i="2"/>
  <c r="O328" i="2"/>
  <c r="O329" i="2"/>
  <c r="P332" i="1"/>
  <c r="P329" i="1"/>
  <c r="N214" i="1"/>
  <c r="W16" i="1"/>
  <c r="W324" i="1" s="1"/>
  <c r="Y60" i="1"/>
  <c r="X19" i="3" s="1"/>
  <c r="AA60" i="1"/>
  <c r="AA18" i="1" s="1"/>
  <c r="V60" i="1"/>
  <c r="V18" i="1" s="1"/>
  <c r="Y37" i="3" s="1"/>
  <c r="Y33" i="3" s="1"/>
  <c r="Q85" i="13"/>
  <c r="V15" i="1"/>
  <c r="Q285" i="13"/>
  <c r="V106" i="1"/>
  <c r="S322" i="1"/>
  <c r="P10" i="3" s="1"/>
  <c r="S8" i="1"/>
  <c r="V109" i="1"/>
  <c r="Q301" i="13"/>
  <c r="K342" i="1"/>
  <c r="N134" i="1"/>
  <c r="R322" i="1"/>
  <c r="V9" i="1"/>
  <c r="Q300" i="13"/>
  <c r="V168" i="1"/>
  <c r="V166" i="1" s="1"/>
  <c r="V134" i="1" s="1"/>
  <c r="AR49" i="5"/>
  <c r="AR47" i="5" s="1"/>
  <c r="AR51" i="5" s="1"/>
  <c r="AR60" i="5" s="1"/>
  <c r="AO49" i="5"/>
  <c r="AO47" i="5" s="1"/>
  <c r="AO51" i="5" s="1"/>
  <c r="AO60" i="5" s="1"/>
  <c r="AF24" i="3"/>
  <c r="AJ24" i="3" s="1"/>
  <c r="AJ25" i="3"/>
  <c r="W137" i="1"/>
  <c r="X81" i="1"/>
  <c r="O299" i="13"/>
  <c r="R16" i="1"/>
  <c r="R8" i="1" s="1"/>
  <c r="R194" i="1" s="1"/>
  <c r="T21" i="3"/>
  <c r="X26" i="3"/>
  <c r="E21" i="19"/>
  <c r="T26" i="3"/>
  <c r="X135" i="1"/>
  <c r="X134" i="1" s="1"/>
  <c r="AA20" i="1"/>
  <c r="Z22" i="3" s="1"/>
  <c r="Z20" i="3" s="1"/>
  <c r="Q350" i="1"/>
  <c r="L342" i="1"/>
  <c r="M342" i="1"/>
  <c r="V447" i="13"/>
  <c r="T447" i="13"/>
  <c r="J336" i="2"/>
  <c r="J333" i="2"/>
  <c r="Y149" i="2"/>
  <c r="Y92" i="2"/>
  <c r="AA94" i="2"/>
  <c r="AA92" i="2" s="1"/>
  <c r="Y120" i="2"/>
  <c r="J326" i="2"/>
  <c r="J8" i="2"/>
  <c r="AA137" i="2"/>
  <c r="AA125" i="2" s="1"/>
  <c r="AA120" i="2" s="1"/>
  <c r="AA160" i="2"/>
  <c r="AA148" i="2" s="1"/>
  <c r="W148" i="2"/>
  <c r="H326" i="2"/>
  <c r="H8" i="2"/>
  <c r="Q347" i="2"/>
  <c r="Q349" i="2" s="1"/>
  <c r="O221" i="2"/>
  <c r="N218" i="2"/>
  <c r="R221" i="2"/>
  <c r="O190" i="2"/>
  <c r="R124" i="2"/>
  <c r="O123" i="2"/>
  <c r="N120" i="2"/>
  <c r="O120" i="2" s="1"/>
  <c r="U8" i="2"/>
  <c r="V139" i="2"/>
  <c r="U326" i="2"/>
  <c r="I326" i="2"/>
  <c r="N9" i="2"/>
  <c r="N187" i="2"/>
  <c r="O187" i="2" s="1"/>
  <c r="N60" i="2"/>
  <c r="O54" i="2"/>
  <c r="T327" i="2"/>
  <c r="W140" i="2"/>
  <c r="AA61" i="2"/>
  <c r="AA59" i="2" s="1"/>
  <c r="AA17" i="2" s="1"/>
  <c r="U175" i="2"/>
  <c r="U174" i="2" s="1"/>
  <c r="AH187" i="2"/>
  <c r="W192" i="2"/>
  <c r="Y192" i="2"/>
  <c r="AA192" i="2" s="1"/>
  <c r="W62" i="2"/>
  <c r="W61" i="2"/>
  <c r="V221" i="2"/>
  <c r="V214" i="2"/>
  <c r="V330" i="2" s="1"/>
  <c r="V193" i="2"/>
  <c r="S187" i="2"/>
  <c r="T59" i="2"/>
  <c r="T17" i="2" s="1"/>
  <c r="T15" i="2" s="1"/>
  <c r="T328" i="2" s="1"/>
  <c r="Z336" i="2"/>
  <c r="N139" i="2"/>
  <c r="R8" i="2"/>
  <c r="T125" i="2"/>
  <c r="T120" i="2" s="1"/>
  <c r="S128" i="2"/>
  <c r="S125" i="2"/>
  <c r="S120" i="2" s="1"/>
  <c r="S326" i="2" s="1"/>
  <c r="O10" i="4" s="1"/>
  <c r="U187" i="2"/>
  <c r="AA190" i="2"/>
  <c r="V148" i="2"/>
  <c r="V62" i="2"/>
  <c r="V61" i="2"/>
  <c r="S61" i="2"/>
  <c r="S59" i="2" s="1"/>
  <c r="S17" i="2" s="1"/>
  <c r="U61" i="2"/>
  <c r="U59" i="2" s="1"/>
  <c r="U17" i="2" s="1"/>
  <c r="U15" i="2" s="1"/>
  <c r="U328" i="2" s="1"/>
  <c r="U19" i="2"/>
  <c r="G29" i="3"/>
  <c r="G32" i="3" s="1"/>
  <c r="G26" i="19"/>
  <c r="I26" i="19"/>
  <c r="D27" i="19"/>
  <c r="U15" i="3"/>
  <c r="Y15" i="3" s="1"/>
  <c r="AA15" i="3" s="1"/>
  <c r="U11" i="3"/>
  <c r="Y11" i="3" s="1"/>
  <c r="AA11" i="3" s="1"/>
  <c r="H63" i="3"/>
  <c r="I63" i="3" s="1"/>
  <c r="N29" i="3"/>
  <c r="I44" i="3"/>
  <c r="I45" i="3" s="1"/>
  <c r="L44" i="3" s="1"/>
  <c r="M29" i="3"/>
  <c r="M32" i="3" s="1"/>
  <c r="U21" i="3"/>
  <c r="H63" i="4"/>
  <c r="I63" i="4" s="1"/>
  <c r="R12" i="4"/>
  <c r="O175" i="2"/>
  <c r="G44" i="4"/>
  <c r="G45" i="4" s="1"/>
  <c r="P324" i="13"/>
  <c r="P328" i="13" s="1"/>
  <c r="K322" i="14"/>
  <c r="K326" i="14" s="1"/>
  <c r="I32" i="3"/>
  <c r="E322" i="14"/>
  <c r="E326" i="14" s="1"/>
  <c r="R322" i="14"/>
  <c r="R326" i="14" s="1"/>
  <c r="AQ14" i="5"/>
  <c r="AQ6" i="5" s="1"/>
  <c r="AQ51" i="5" s="1"/>
  <c r="T20" i="3"/>
  <c r="T15" i="4"/>
  <c r="X15" i="4" s="1"/>
  <c r="F31" i="4"/>
  <c r="H31" i="4"/>
  <c r="H29" i="3"/>
  <c r="H44" i="3" s="1"/>
  <c r="H45" i="3" s="1"/>
  <c r="J29" i="3"/>
  <c r="J32" i="3" s="1"/>
  <c r="Z339" i="2"/>
  <c r="N322" i="14"/>
  <c r="N326" i="14" s="1"/>
  <c r="T322" i="14"/>
  <c r="T326" i="14" s="1"/>
  <c r="J452" i="14"/>
  <c r="N169" i="1"/>
  <c r="N323" i="1" s="1"/>
  <c r="O24" i="3" s="1"/>
  <c r="M21" i="3"/>
  <c r="H322" i="14"/>
  <c r="H326" i="14" s="1"/>
  <c r="P322" i="14"/>
  <c r="P326" i="14" s="1"/>
  <c r="O325" i="1"/>
  <c r="J271" i="14"/>
  <c r="Q339" i="2"/>
  <c r="AH42" i="5"/>
  <c r="O170" i="1"/>
  <c r="U339" i="2"/>
  <c r="AB339" i="2"/>
  <c r="V322" i="14"/>
  <c r="V326" i="14" s="1"/>
  <c r="I339" i="2"/>
  <c r="M339" i="2"/>
  <c r="AH17" i="4"/>
  <c r="K339" i="2"/>
  <c r="W339" i="2"/>
  <c r="AA339" i="2"/>
  <c r="AH40" i="5"/>
  <c r="G44" i="3"/>
  <c r="G45" i="3" s="1"/>
  <c r="F44" i="3"/>
  <c r="F45" i="3" s="1"/>
  <c r="O174" i="2"/>
  <c r="N327" i="2"/>
  <c r="O327" i="2" s="1"/>
  <c r="S169" i="1"/>
  <c r="S194" i="1" s="1"/>
  <c r="W174" i="2"/>
  <c r="E32" i="3"/>
  <c r="E44" i="3"/>
  <c r="E45" i="3" s="1"/>
  <c r="F32" i="3"/>
  <c r="R17" i="1"/>
  <c r="E23" i="19"/>
  <c r="J272" i="13"/>
  <c r="J447" i="13"/>
  <c r="F322" i="14"/>
  <c r="F326" i="14" s="1"/>
  <c r="T324" i="13"/>
  <c r="T328" i="13" s="1"/>
  <c r="J322" i="14"/>
  <c r="J326" i="14" s="1"/>
  <c r="Y339" i="2"/>
  <c r="J21" i="3"/>
  <c r="K21" i="3" s="1"/>
  <c r="K19" i="3" s="1"/>
  <c r="K9" i="3" s="1"/>
  <c r="K44" i="3" s="1"/>
  <c r="F44" i="4"/>
  <c r="F45" i="4" s="1"/>
  <c r="J31" i="4"/>
  <c r="G31" i="4"/>
  <c r="M21" i="4"/>
  <c r="E44" i="4"/>
  <c r="E45" i="4" s="1"/>
  <c r="E31" i="4"/>
  <c r="Z16" i="4"/>
  <c r="I44" i="4"/>
  <c r="I45" i="4" s="1"/>
  <c r="L44" i="4" s="1"/>
  <c r="I31" i="4"/>
  <c r="H44" i="4"/>
  <c r="H45" i="4" s="1"/>
  <c r="J44" i="4"/>
  <c r="J45" i="4" s="1"/>
  <c r="M9" i="4"/>
  <c r="M31" i="4" s="1"/>
  <c r="T11" i="4"/>
  <c r="X11" i="4" s="1"/>
  <c r="R16" i="2"/>
  <c r="R44" i="4"/>
  <c r="R31" i="4"/>
  <c r="H339" i="2"/>
  <c r="L339" i="2"/>
  <c r="X339" i="2"/>
  <c r="J339" i="2"/>
  <c r="P339" i="2"/>
  <c r="F339" i="2"/>
  <c r="AT47" i="5"/>
  <c r="AT51" i="5" s="1"/>
  <c r="AV49" i="5"/>
  <c r="AV47" i="5" s="1"/>
  <c r="AV51" i="5" s="1"/>
  <c r="AU61" i="5" s="1"/>
  <c r="AW49" i="5"/>
  <c r="J20" i="4"/>
  <c r="L19" i="4" s="1"/>
  <c r="J21" i="4"/>
  <c r="K21" i="4" s="1"/>
  <c r="K19" i="4" s="1"/>
  <c r="K9" i="4" s="1"/>
  <c r="K44" i="4" s="1"/>
  <c r="AH44" i="5"/>
  <c r="AH39" i="5"/>
  <c r="AH43" i="5"/>
  <c r="V169" i="1"/>
  <c r="W170" i="1"/>
  <c r="Y170" i="1" s="1"/>
  <c r="AA170" i="1" s="1"/>
  <c r="S19" i="3"/>
  <c r="T339" i="2"/>
  <c r="AH38" i="5"/>
  <c r="AH45" i="5"/>
  <c r="AH46" i="5"/>
  <c r="J324" i="13"/>
  <c r="J328" i="13" s="1"/>
  <c r="R324" i="13"/>
  <c r="R328" i="13" s="1"/>
  <c r="I324" i="14"/>
  <c r="I322" i="14" s="1"/>
  <c r="I326" i="14" s="1"/>
  <c r="G322" i="14"/>
  <c r="G326" i="14" s="1"/>
  <c r="S327" i="2"/>
  <c r="O24" i="4" s="1"/>
  <c r="U332" i="1"/>
  <c r="N18" i="1"/>
  <c r="O60" i="1"/>
  <c r="R324" i="1"/>
  <c r="R19" i="3"/>
  <c r="R21" i="3"/>
  <c r="T23" i="3" s="1"/>
  <c r="AA16" i="1"/>
  <c r="Z19" i="3"/>
  <c r="Z21" i="3" s="1"/>
  <c r="Y18" i="1"/>
  <c r="AC134" i="1" l="1"/>
  <c r="X322" i="1"/>
  <c r="Z322" i="1"/>
  <c r="Z328" i="1" s="1"/>
  <c r="AF194" i="1" s="1"/>
  <c r="R214" i="1"/>
  <c r="R210" i="1" s="1"/>
  <c r="R326" i="1" s="1"/>
  <c r="T217" i="1"/>
  <c r="U342" i="1"/>
  <c r="U345" i="1" s="1"/>
  <c r="U19" i="3"/>
  <c r="U9" i="3" s="1"/>
  <c r="V16" i="1"/>
  <c r="AD182" i="1" s="1"/>
  <c r="L51" i="3"/>
  <c r="L53" i="3" s="1"/>
  <c r="Y20" i="3"/>
  <c r="U322" i="1"/>
  <c r="Y185" i="1"/>
  <c r="W182" i="1"/>
  <c r="W323" i="1" s="1"/>
  <c r="T24" i="3" s="1"/>
  <c r="H32" i="3"/>
  <c r="S440" i="14"/>
  <c r="U440" i="14" s="1"/>
  <c r="P452" i="14"/>
  <c r="Q440" i="14"/>
  <c r="R440" i="14" s="1"/>
  <c r="R452" i="14" s="1"/>
  <c r="W112" i="2"/>
  <c r="S298" i="14"/>
  <c r="X326" i="2"/>
  <c r="Y15" i="2"/>
  <c r="Y328" i="2" s="1"/>
  <c r="W19" i="4"/>
  <c r="W21" i="4" s="1"/>
  <c r="V59" i="2"/>
  <c r="V17" i="2" s="1"/>
  <c r="R199" i="2"/>
  <c r="W59" i="2"/>
  <c r="W17" i="2" s="1"/>
  <c r="AA15" i="2"/>
  <c r="AA328" i="2" s="1"/>
  <c r="Y19" i="4"/>
  <c r="Y21" i="4" s="1"/>
  <c r="Y111" i="2"/>
  <c r="U297" i="14"/>
  <c r="AA111" i="2" s="1"/>
  <c r="S57" i="14"/>
  <c r="W14" i="2"/>
  <c r="W9" i="2" s="1"/>
  <c r="Q58" i="14"/>
  <c r="Q59" i="14" s="1"/>
  <c r="S15" i="2"/>
  <c r="O19" i="4"/>
  <c r="O21" i="4" s="1"/>
  <c r="E25" i="21" s="1"/>
  <c r="E21" i="21" s="1"/>
  <c r="S299" i="14"/>
  <c r="W114" i="2"/>
  <c r="S284" i="14"/>
  <c r="W108" i="2"/>
  <c r="W106" i="2" s="1"/>
  <c r="Q300" i="14"/>
  <c r="AC15" i="1"/>
  <c r="AD15" i="1" s="1"/>
  <c r="T9" i="2"/>
  <c r="T326" i="2" s="1"/>
  <c r="T353" i="2" s="1"/>
  <c r="Q452" i="14"/>
  <c r="S439" i="14"/>
  <c r="X16" i="1"/>
  <c r="X323" i="1"/>
  <c r="O134" i="1"/>
  <c r="AF53" i="5"/>
  <c r="AF54" i="5" s="1"/>
  <c r="N322" i="1"/>
  <c r="W109" i="1"/>
  <c r="S301" i="13"/>
  <c r="U301" i="13" s="1"/>
  <c r="Y109" i="1" s="1"/>
  <c r="AA109" i="1" s="1"/>
  <c r="O214" i="1"/>
  <c r="N210" i="1"/>
  <c r="S10" i="3"/>
  <c r="S9" i="3" s="1"/>
  <c r="U350" i="1"/>
  <c r="V108" i="1"/>
  <c r="V104" i="1" s="1"/>
  <c r="O298" i="13"/>
  <c r="O302" i="13" s="1"/>
  <c r="Q299" i="13"/>
  <c r="Y137" i="1"/>
  <c r="W135" i="1"/>
  <c r="W168" i="1"/>
  <c r="W166" i="1" s="1"/>
  <c r="AU49" i="5"/>
  <c r="S300" i="13"/>
  <c r="S285" i="13"/>
  <c r="W106" i="1"/>
  <c r="S85" i="13"/>
  <c r="W15" i="1"/>
  <c r="W9" i="1" s="1"/>
  <c r="Q86" i="13"/>
  <c r="S328" i="2"/>
  <c r="S8" i="2"/>
  <c r="S199" i="2" s="1"/>
  <c r="S332" i="2" s="1"/>
  <c r="AA187" i="2"/>
  <c r="AA327" i="2" s="1"/>
  <c r="Y24" i="4" s="1"/>
  <c r="O139" i="2"/>
  <c r="N138" i="2"/>
  <c r="O138" i="2" s="1"/>
  <c r="W187" i="2"/>
  <c r="AC18" i="4" s="1"/>
  <c r="W139" i="2"/>
  <c r="W138" i="2" s="1"/>
  <c r="W326" i="2" s="1"/>
  <c r="S10" i="4" s="1"/>
  <c r="Y140" i="2"/>
  <c r="U199" i="2"/>
  <c r="U332" i="2" s="1"/>
  <c r="AA103" i="2"/>
  <c r="AA91" i="2" s="1"/>
  <c r="V355" i="2"/>
  <c r="U355" i="2" s="1"/>
  <c r="V187" i="2"/>
  <c r="V327" i="2" s="1"/>
  <c r="Q24" i="4" s="1"/>
  <c r="W193" i="2"/>
  <c r="Y193" i="2" s="1"/>
  <c r="AA193" i="2" s="1"/>
  <c r="N8" i="2"/>
  <c r="N326" i="2"/>
  <c r="V138" i="2"/>
  <c r="V326" i="2" s="1"/>
  <c r="Q10" i="4" s="1"/>
  <c r="R218" i="2"/>
  <c r="R214" i="2" s="1"/>
  <c r="R330" i="2" s="1"/>
  <c r="T221" i="2"/>
  <c r="Y103" i="2"/>
  <c r="Y91" i="2"/>
  <c r="U327" i="2"/>
  <c r="V353" i="2" s="1"/>
  <c r="O218" i="2"/>
  <c r="N214" i="2"/>
  <c r="O60" i="2"/>
  <c r="N59" i="2"/>
  <c r="O59" i="2" s="1"/>
  <c r="T8" i="2"/>
  <c r="T199" i="2" s="1"/>
  <c r="Y148" i="2"/>
  <c r="Y160" i="2"/>
  <c r="U31" i="3"/>
  <c r="Y31" i="3" s="1"/>
  <c r="AA31" i="3" s="1"/>
  <c r="AA29" i="3" s="1"/>
  <c r="W29" i="3"/>
  <c r="G18" i="19"/>
  <c r="M44" i="3"/>
  <c r="H64" i="3" s="1"/>
  <c r="M44" i="4"/>
  <c r="M45" i="4" s="1"/>
  <c r="G25" i="21"/>
  <c r="Z15" i="4"/>
  <c r="O323" i="1"/>
  <c r="J44" i="3"/>
  <c r="J50" i="3" s="1"/>
  <c r="W327" i="2"/>
  <c r="S24" i="4" s="1"/>
  <c r="O169" i="1"/>
  <c r="S323" i="1"/>
  <c r="P24" i="3" s="1"/>
  <c r="P9" i="3" s="1"/>
  <c r="P44" i="3" s="1"/>
  <c r="N24" i="4"/>
  <c r="I64" i="3"/>
  <c r="I62" i="3" s="1"/>
  <c r="H62" i="3"/>
  <c r="U36" i="3"/>
  <c r="Z11" i="4"/>
  <c r="O9" i="4"/>
  <c r="O44" i="4" s="1"/>
  <c r="D37" i="21" s="1"/>
  <c r="E20" i="21"/>
  <c r="E27" i="21" s="1"/>
  <c r="E18" i="21" s="1"/>
  <c r="R45" i="4"/>
  <c r="R59" i="4" s="1"/>
  <c r="R69" i="4"/>
  <c r="R24" i="3"/>
  <c r="V323" i="1"/>
  <c r="S328" i="1"/>
  <c r="AH51" i="5"/>
  <c r="Y21" i="3"/>
  <c r="L51" i="4"/>
  <c r="L58" i="4" s="1"/>
  <c r="AW47" i="5"/>
  <c r="AW51" i="5" s="1"/>
  <c r="AZ49" i="5"/>
  <c r="AY49" i="5"/>
  <c r="AY47" i="5" s="1"/>
  <c r="Y16" i="1"/>
  <c r="X21" i="3"/>
  <c r="R23" i="3"/>
  <c r="Y10" i="3"/>
  <c r="AA324" i="1"/>
  <c r="V324" i="1"/>
  <c r="O19" i="3"/>
  <c r="N16" i="1"/>
  <c r="O18" i="1"/>
  <c r="Z329" i="1" l="1"/>
  <c r="Z332" i="1"/>
  <c r="Z342" i="1" s="1"/>
  <c r="Z345" i="1" s="1"/>
  <c r="T214" i="1"/>
  <c r="W217" i="1"/>
  <c r="Y182" i="1"/>
  <c r="Y323" i="1" s="1"/>
  <c r="X24" i="3" s="1"/>
  <c r="AA185" i="1"/>
  <c r="AA182" i="1" s="1"/>
  <c r="AA323" i="1" s="1"/>
  <c r="Z24" i="3" s="1"/>
  <c r="Y22" i="3"/>
  <c r="AA20" i="3"/>
  <c r="AA22" i="3" s="1"/>
  <c r="R328" i="1"/>
  <c r="R332" i="2"/>
  <c r="N199" i="2"/>
  <c r="U298" i="14"/>
  <c r="AA112" i="2" s="1"/>
  <c r="Y112" i="2"/>
  <c r="W15" i="2"/>
  <c r="S19" i="4"/>
  <c r="S21" i="4" s="1"/>
  <c r="V15" i="2"/>
  <c r="Q19" i="4"/>
  <c r="Q21" i="4" s="1"/>
  <c r="X37" i="4"/>
  <c r="Q9" i="4"/>
  <c r="AF18" i="4"/>
  <c r="AC15" i="4"/>
  <c r="U439" i="14"/>
  <c r="U452" i="14" s="1"/>
  <c r="S452" i="14"/>
  <c r="S300" i="14"/>
  <c r="U284" i="14"/>
  <c r="Y108" i="2"/>
  <c r="Y106" i="2" s="1"/>
  <c r="Y114" i="2"/>
  <c r="U299" i="14"/>
  <c r="AA114" i="2" s="1"/>
  <c r="U57" i="14"/>
  <c r="Y14" i="2"/>
  <c r="Y9" i="2" s="1"/>
  <c r="Y8" i="2" s="1"/>
  <c r="S58" i="14"/>
  <c r="S59" i="14" s="1"/>
  <c r="V322" i="1"/>
  <c r="R10" i="3" s="1"/>
  <c r="R9" i="3" s="1"/>
  <c r="V8" i="1"/>
  <c r="V194" i="1" s="1"/>
  <c r="V328" i="1" s="1"/>
  <c r="V342" i="1" s="1"/>
  <c r="V345" i="1" s="1"/>
  <c r="S32" i="3"/>
  <c r="S44" i="3"/>
  <c r="S45" i="3" s="1"/>
  <c r="U285" i="13"/>
  <c r="Y106" i="1"/>
  <c r="AU47" i="5"/>
  <c r="AU51" i="5" s="1"/>
  <c r="AU60" i="5" s="1"/>
  <c r="T168" i="1"/>
  <c r="T166" i="1" s="1"/>
  <c r="T134" i="1" s="1"/>
  <c r="W134" i="1"/>
  <c r="Q298" i="13"/>
  <c r="Q302" i="13" s="1"/>
  <c r="W108" i="1"/>
  <c r="S299" i="13"/>
  <c r="O210" i="1"/>
  <c r="N326" i="1"/>
  <c r="O326" i="1" s="1"/>
  <c r="X8" i="1"/>
  <c r="X194" i="1" s="1"/>
  <c r="U85" i="13"/>
  <c r="Y15" i="1"/>
  <c r="Y9" i="1" s="1"/>
  <c r="S86" i="13"/>
  <c r="W104" i="1"/>
  <c r="W8" i="1" s="1"/>
  <c r="W194" i="1" s="1"/>
  <c r="Y168" i="1"/>
  <c r="AX49" i="5"/>
  <c r="AX47" i="5" s="1"/>
  <c r="U300" i="13"/>
  <c r="AA137" i="1"/>
  <c r="AA135" i="1" s="1"/>
  <c r="Y135" i="1"/>
  <c r="O9" i="12"/>
  <c r="O8" i="12" s="1"/>
  <c r="O9" i="9"/>
  <c r="O8" i="9" s="1"/>
  <c r="O10" i="3"/>
  <c r="I31" i="6" s="1"/>
  <c r="J31" i="6" s="1"/>
  <c r="K31" i="6" s="1"/>
  <c r="O9" i="2"/>
  <c r="O8" i="2" s="1"/>
  <c r="O9" i="11"/>
  <c r="O8" i="11" s="1"/>
  <c r="O9" i="5"/>
  <c r="O8" i="5" s="1"/>
  <c r="O6" i="5" s="1"/>
  <c r="O51" i="5" s="1"/>
  <c r="O9" i="15"/>
  <c r="O8" i="15" s="1"/>
  <c r="O9" i="1"/>
  <c r="O8" i="1" s="1"/>
  <c r="O9" i="17"/>
  <c r="O8" i="17" s="1"/>
  <c r="O9" i="10"/>
  <c r="O8" i="10" s="1"/>
  <c r="O9" i="16"/>
  <c r="O8" i="16" s="1"/>
  <c r="O322" i="1"/>
  <c r="N330" i="2"/>
  <c r="O330" i="2" s="1"/>
  <c r="O214" i="2"/>
  <c r="N10" i="4"/>
  <c r="N9" i="4" s="1"/>
  <c r="O326" i="2"/>
  <c r="U336" i="2"/>
  <c r="U333" i="2"/>
  <c r="U347" i="2"/>
  <c r="U349" i="2" s="1"/>
  <c r="T218" i="2"/>
  <c r="T214" i="2" s="1"/>
  <c r="T330" i="2" s="1"/>
  <c r="W221" i="2"/>
  <c r="S30" i="4" s="1"/>
  <c r="Y187" i="2"/>
  <c r="Y327" i="2" s="1"/>
  <c r="W24" i="4" s="1"/>
  <c r="S333" i="2"/>
  <c r="S347" i="2"/>
  <c r="S349" i="2" s="1"/>
  <c r="R347" i="2"/>
  <c r="R349" i="2" s="1"/>
  <c r="R336" i="2"/>
  <c r="R333" i="2"/>
  <c r="Y139" i="2"/>
  <c r="AA140" i="2"/>
  <c r="AA139" i="2" s="1"/>
  <c r="U29" i="3"/>
  <c r="U32" i="3" s="1"/>
  <c r="Y29" i="3"/>
  <c r="M45" i="3"/>
  <c r="T21" i="4"/>
  <c r="X21" i="4" s="1"/>
  <c r="X19" i="4" s="1"/>
  <c r="G21" i="21"/>
  <c r="T19" i="4" s="1"/>
  <c r="J45" i="3"/>
  <c r="M55" i="4"/>
  <c r="H64" i="4"/>
  <c r="I64" i="4" s="1"/>
  <c r="I62" i="4" s="1"/>
  <c r="E37" i="21"/>
  <c r="E38" i="21" s="1"/>
  <c r="V33" i="4" s="1"/>
  <c r="V32" i="4" s="1"/>
  <c r="E29" i="21"/>
  <c r="E20" i="19"/>
  <c r="P32" i="3"/>
  <c r="H65" i="3"/>
  <c r="J62" i="3"/>
  <c r="O31" i="4"/>
  <c r="D29" i="21"/>
  <c r="Y170" i="2"/>
  <c r="AY51" i="5"/>
  <c r="AX61" i="5" s="1"/>
  <c r="Y19" i="3"/>
  <c r="Y9" i="3" s="1"/>
  <c r="AA21" i="3"/>
  <c r="AA19" i="3" s="1"/>
  <c r="AZ47" i="5"/>
  <c r="AZ51" i="5" s="1"/>
  <c r="BB49" i="5"/>
  <c r="BB47" i="5" s="1"/>
  <c r="BB51" i="5" s="1"/>
  <c r="S342" i="1"/>
  <c r="S345" i="1" s="1"/>
  <c r="S329" i="1"/>
  <c r="P54" i="3"/>
  <c r="P50" i="3"/>
  <c r="P51" i="3" s="1"/>
  <c r="P45" i="3"/>
  <c r="O55" i="4"/>
  <c r="O45" i="4"/>
  <c r="O50" i="4"/>
  <c r="O51" i="4" s="1"/>
  <c r="O21" i="3"/>
  <c r="N324" i="1"/>
  <c r="O16" i="1"/>
  <c r="N8" i="1"/>
  <c r="N194" i="1" s="1"/>
  <c r="AA10" i="3"/>
  <c r="S72" i="3"/>
  <c r="Y324" i="1"/>
  <c r="V329" i="1" l="1"/>
  <c r="R332" i="1"/>
  <c r="R329" i="1"/>
  <c r="R342" i="1"/>
  <c r="R345" i="1" s="1"/>
  <c r="T31" i="3"/>
  <c r="W214" i="1"/>
  <c r="W210" i="1" s="1"/>
  <c r="Y217" i="1"/>
  <c r="W328" i="1"/>
  <c r="O9" i="3"/>
  <c r="O44" i="3" s="1"/>
  <c r="R31" i="3"/>
  <c r="T210" i="1"/>
  <c r="T326" i="1" s="1"/>
  <c r="R32" i="3"/>
  <c r="R44" i="3"/>
  <c r="R50" i="3" s="1"/>
  <c r="N332" i="2"/>
  <c r="O199" i="2"/>
  <c r="O332" i="2" s="1"/>
  <c r="AH18" i="4"/>
  <c r="AH15" i="4" s="1"/>
  <c r="AF15" i="4"/>
  <c r="T24" i="4" s="1"/>
  <c r="G20" i="21" s="1"/>
  <c r="Q31" i="4"/>
  <c r="Q44" i="4"/>
  <c r="Z37" i="4"/>
  <c r="X32" i="4"/>
  <c r="V8" i="2"/>
  <c r="V199" i="2" s="1"/>
  <c r="V332" i="2" s="1"/>
  <c r="V333" i="2" s="1"/>
  <c r="V328" i="2"/>
  <c r="W8" i="2"/>
  <c r="W199" i="2" s="1"/>
  <c r="W328" i="2"/>
  <c r="AA14" i="2"/>
  <c r="AA9" i="2" s="1"/>
  <c r="U58" i="14"/>
  <c r="U59" i="14" s="1"/>
  <c r="AA108" i="2"/>
  <c r="AA106" i="2" s="1"/>
  <c r="U300" i="14"/>
  <c r="S9" i="4"/>
  <c r="N44" i="4"/>
  <c r="N31" i="4"/>
  <c r="X274" i="2"/>
  <c r="W342" i="1"/>
  <c r="W345" i="1" s="1"/>
  <c r="W329" i="1"/>
  <c r="W332" i="1"/>
  <c r="AA168" i="1"/>
  <c r="BA49" i="5"/>
  <c r="BA47" i="5" s="1"/>
  <c r="AA15" i="1"/>
  <c r="AA9" i="1" s="1"/>
  <c r="U86" i="13"/>
  <c r="Y108" i="1"/>
  <c r="U299" i="13"/>
  <c r="S298" i="13"/>
  <c r="S302" i="13" s="1"/>
  <c r="AR53" i="5"/>
  <c r="AU53" i="5"/>
  <c r="T322" i="1"/>
  <c r="T194" i="1"/>
  <c r="T328" i="1" s="1"/>
  <c r="AA106" i="1"/>
  <c r="W322" i="1"/>
  <c r="T10" i="3" s="1"/>
  <c r="T9" i="3" s="1"/>
  <c r="AX51" i="5"/>
  <c r="AX60" i="5" s="1"/>
  <c r="Y166" i="1"/>
  <c r="Y134" i="1" s="1"/>
  <c r="AX53" i="5" s="1"/>
  <c r="Y104" i="1"/>
  <c r="Y8" i="1" s="1"/>
  <c r="Y221" i="2"/>
  <c r="W30" i="4" s="1"/>
  <c r="W218" i="2"/>
  <c r="W214" i="2" s="1"/>
  <c r="V347" i="2"/>
  <c r="T332" i="2"/>
  <c r="G18" i="21"/>
  <c r="G41" i="21" s="1"/>
  <c r="G42" i="21" s="1"/>
  <c r="V19" i="4"/>
  <c r="D28" i="19"/>
  <c r="E35" i="19" s="1"/>
  <c r="E26" i="19"/>
  <c r="E18" i="19" s="1"/>
  <c r="E36" i="19" s="1"/>
  <c r="H62" i="4"/>
  <c r="H65" i="4" s="1"/>
  <c r="T36" i="4"/>
  <c r="T32" i="4" s="1"/>
  <c r="R45" i="3"/>
  <c r="R47" i="3" s="1"/>
  <c r="R54" i="3"/>
  <c r="R72" i="3"/>
  <c r="J64" i="3"/>
  <c r="K64" i="3" s="1"/>
  <c r="J67" i="3"/>
  <c r="Z21" i="4"/>
  <c r="Z19" i="4" s="1"/>
  <c r="Z9" i="4" s="1"/>
  <c r="X9" i="4"/>
  <c r="X44" i="4" s="1"/>
  <c r="X80" i="4" s="1"/>
  <c r="X79" i="4" s="1"/>
  <c r="X81" i="4" s="1"/>
  <c r="O57" i="4"/>
  <c r="O47" i="4"/>
  <c r="O59" i="4"/>
  <c r="BA60" i="5"/>
  <c r="BA61" i="5"/>
  <c r="AA9" i="3"/>
  <c r="AA32" i="3" s="1"/>
  <c r="P47" i="3"/>
  <c r="P55" i="3"/>
  <c r="P59" i="3"/>
  <c r="AA170" i="2"/>
  <c r="Y173" i="2"/>
  <c r="Y138" i="2"/>
  <c r="S58" i="3"/>
  <c r="S59" i="3"/>
  <c r="R51" i="3"/>
  <c r="Y44" i="3"/>
  <c r="Y45" i="3" s="1"/>
  <c r="Y32" i="3"/>
  <c r="N328" i="1"/>
  <c r="O54" i="3" s="1"/>
  <c r="O194" i="1"/>
  <c r="N17" i="15"/>
  <c r="N45" i="15" s="1"/>
  <c r="O3" i="15" s="1"/>
  <c r="O45" i="15" s="1"/>
  <c r="P3" i="15" s="1"/>
  <c r="P45" i="15" s="1"/>
  <c r="Q3" i="15" s="1"/>
  <c r="Q45" i="15" s="1"/>
  <c r="R3" i="15" s="1"/>
  <c r="R45" i="15" s="1"/>
  <c r="S3" i="15" s="1"/>
  <c r="S45" i="15" s="1"/>
  <c r="T3" i="15" s="1"/>
  <c r="T45" i="15" s="1"/>
  <c r="U3" i="15" s="1"/>
  <c r="U45" i="15" s="1"/>
  <c r="V3" i="15" s="1"/>
  <c r="V45" i="15" s="1"/>
  <c r="W3" i="15" s="1"/>
  <c r="W45" i="15" s="1"/>
  <c r="X3" i="15" s="1"/>
  <c r="X45" i="15" s="1"/>
  <c r="Y3" i="15" s="1"/>
  <c r="Y45" i="15" s="1"/>
  <c r="Z3" i="15" s="1"/>
  <c r="Z45" i="15" s="1"/>
  <c r="AA3" i="15" s="1"/>
  <c r="AA45" i="15" s="1"/>
  <c r="AB3" i="15" s="1"/>
  <c r="AB45" i="15" s="1"/>
  <c r="N17" i="12"/>
  <c r="N17" i="5"/>
  <c r="N17" i="11"/>
  <c r="N17" i="14"/>
  <c r="N36" i="14" s="1"/>
  <c r="N17" i="9"/>
  <c r="N17" i="13"/>
  <c r="N16" i="13" s="1"/>
  <c r="N17" i="10"/>
  <c r="N19" i="3"/>
  <c r="O324" i="1"/>
  <c r="O45" i="3"/>
  <c r="R59" i="3" l="1"/>
  <c r="T9" i="4"/>
  <c r="AA217" i="1"/>
  <c r="Y214" i="1"/>
  <c r="Y210" i="1" s="1"/>
  <c r="Y326" i="1" s="1"/>
  <c r="X31" i="3"/>
  <c r="X29" i="3" s="1"/>
  <c r="T29" i="3"/>
  <c r="T44" i="3" s="1"/>
  <c r="W326" i="1"/>
  <c r="E37" i="19"/>
  <c r="G40" i="19" s="1"/>
  <c r="G41" i="19" s="1"/>
  <c r="Y194" i="1"/>
  <c r="Y328" i="1" s="1"/>
  <c r="Y332" i="1" s="1"/>
  <c r="T32" i="3"/>
  <c r="X270" i="2"/>
  <c r="X332" i="2"/>
  <c r="X333" i="2" s="1"/>
  <c r="N336" i="2"/>
  <c r="N347" i="2"/>
  <c r="N349" i="2" s="1"/>
  <c r="N333" i="2"/>
  <c r="Q50" i="4"/>
  <c r="Q51" i="4" s="1"/>
  <c r="Q55" i="4"/>
  <c r="Q45" i="4"/>
  <c r="Q69" i="4"/>
  <c r="V24" i="4"/>
  <c r="V9" i="4" s="1"/>
  <c r="H19" i="21"/>
  <c r="AC9" i="2"/>
  <c r="AA8" i="2"/>
  <c r="AC8" i="2" s="1"/>
  <c r="W330" i="2"/>
  <c r="S28" i="4"/>
  <c r="S31" i="4" s="1"/>
  <c r="AA37" i="4"/>
  <c r="AB38" i="4" s="1"/>
  <c r="Z32" i="4"/>
  <c r="Z44" i="4" s="1"/>
  <c r="N50" i="4"/>
  <c r="N51" i="4" s="1"/>
  <c r="N55" i="4"/>
  <c r="N45" i="4"/>
  <c r="Y342" i="1"/>
  <c r="Y345" i="1" s="1"/>
  <c r="Y329" i="1"/>
  <c r="Y322" i="1"/>
  <c r="X10" i="3" s="1"/>
  <c r="X9" i="3" s="1"/>
  <c r="T332" i="1"/>
  <c r="T329" i="1"/>
  <c r="T342" i="1"/>
  <c r="T345" i="1" s="1"/>
  <c r="AA166" i="1"/>
  <c r="AA134" i="1" s="1"/>
  <c r="BA53" i="5" s="1"/>
  <c r="BA51" i="5"/>
  <c r="U298" i="13"/>
  <c r="U302" i="13" s="1"/>
  <c r="AA108" i="1"/>
  <c r="AA104" i="1" s="1"/>
  <c r="W332" i="2"/>
  <c r="AA221" i="2"/>
  <c r="Y218" i="2"/>
  <c r="Y214" i="2" s="1"/>
  <c r="T347" i="2"/>
  <c r="T349" i="2" s="1"/>
  <c r="T336" i="2"/>
  <c r="T333" i="2"/>
  <c r="J62" i="4"/>
  <c r="J64" i="4" s="1"/>
  <c r="K64" i="4" s="1"/>
  <c r="E28" i="19"/>
  <c r="R58" i="3"/>
  <c r="R55" i="3"/>
  <c r="T44" i="4"/>
  <c r="R81" i="4" s="1"/>
  <c r="Y50" i="3"/>
  <c r="AA44" i="3"/>
  <c r="K62" i="3"/>
  <c r="L64" i="3"/>
  <c r="L62" i="3" s="1"/>
  <c r="J67" i="4"/>
  <c r="X31" i="4"/>
  <c r="Z31" i="4"/>
  <c r="Y199" i="2"/>
  <c r="Y332" i="2" s="1"/>
  <c r="Y326" i="2"/>
  <c r="W10" i="4" s="1"/>
  <c r="W9" i="4" s="1"/>
  <c r="AA173" i="2"/>
  <c r="AA138" i="2"/>
  <c r="O47" i="3"/>
  <c r="N21" i="3"/>
  <c r="N9" i="3"/>
  <c r="O328" i="1"/>
  <c r="N329" i="1"/>
  <c r="N332" i="1"/>
  <c r="T8" i="4" l="1"/>
  <c r="T31" i="4"/>
  <c r="T54" i="3"/>
  <c r="T50" i="3"/>
  <c r="T51" i="3" s="1"/>
  <c r="T45" i="3"/>
  <c r="W34" i="3"/>
  <c r="Z31" i="3"/>
  <c r="Z29" i="3" s="1"/>
  <c r="AA214" i="1"/>
  <c r="AA210" i="1" s="1"/>
  <c r="AA326" i="1" s="1"/>
  <c r="V8" i="4"/>
  <c r="V44" i="4"/>
  <c r="V50" i="4" s="1"/>
  <c r="X336" i="2"/>
  <c r="X347" i="2"/>
  <c r="X349" i="2" s="1"/>
  <c r="AA218" i="2"/>
  <c r="AA214" i="2" s="1"/>
  <c r="Y30" i="4"/>
  <c r="S44" i="4"/>
  <c r="AC87" i="4"/>
  <c r="Y330" i="2"/>
  <c r="W28" i="4"/>
  <c r="Q59" i="4"/>
  <c r="Q57" i="4"/>
  <c r="Q47" i="4"/>
  <c r="N47" i="4"/>
  <c r="N57" i="4"/>
  <c r="AA322" i="1"/>
  <c r="Z10" i="3" s="1"/>
  <c r="Z9" i="3" s="1"/>
  <c r="AA8" i="1"/>
  <c r="AA194" i="1" s="1"/>
  <c r="AA328" i="1" s="1"/>
  <c r="T58" i="3"/>
  <c r="T59" i="3"/>
  <c r="T55" i="3"/>
  <c r="X44" i="3"/>
  <c r="X32" i="3"/>
  <c r="T47" i="3"/>
  <c r="W33" i="3"/>
  <c r="W44" i="3" s="1"/>
  <c r="X269" i="1"/>
  <c r="X275" i="1" s="1"/>
  <c r="X328" i="1" s="1"/>
  <c r="W333" i="2"/>
  <c r="W336" i="2"/>
  <c r="U361" i="2"/>
  <c r="W347" i="2"/>
  <c r="AA45" i="3"/>
  <c r="AA59" i="3" s="1"/>
  <c r="Z45" i="4"/>
  <c r="Z59" i="4" s="1"/>
  <c r="AA44" i="4"/>
  <c r="T50" i="4"/>
  <c r="T45" i="4"/>
  <c r="T53" i="4" s="1"/>
  <c r="R75" i="4"/>
  <c r="S75" i="4" s="1"/>
  <c r="R77" i="4" s="1"/>
  <c r="W79" i="4" s="1"/>
  <c r="W80" i="4" s="1"/>
  <c r="Q64" i="4"/>
  <c r="R64" i="4" s="1"/>
  <c r="R62" i="4" s="1"/>
  <c r="X50" i="4"/>
  <c r="X45" i="4"/>
  <c r="X59" i="4" s="1"/>
  <c r="K65" i="3"/>
  <c r="M62" i="3"/>
  <c r="K67" i="3"/>
  <c r="J65" i="3"/>
  <c r="L64" i="4"/>
  <c r="L62" i="4" s="1"/>
  <c r="K62" i="4"/>
  <c r="AA199" i="2"/>
  <c r="AA332" i="2" s="1"/>
  <c r="AA326" i="2"/>
  <c r="Y10" i="4" s="1"/>
  <c r="Y9" i="4" s="1"/>
  <c r="W44" i="4"/>
  <c r="W31" i="4"/>
  <c r="Y347" i="2"/>
  <c r="V361" i="2"/>
  <c r="Y333" i="2"/>
  <c r="Y336" i="2"/>
  <c r="Y59" i="3"/>
  <c r="N44" i="3"/>
  <c r="N32" i="3"/>
  <c r="N342" i="1"/>
  <c r="N343" i="1"/>
  <c r="V73" i="3" l="1"/>
  <c r="U73" i="3" s="1"/>
  <c r="W45" i="3"/>
  <c r="X342" i="1"/>
  <c r="X345" i="1" s="1"/>
  <c r="AB87" i="4"/>
  <c r="AB85" i="4" s="1"/>
  <c r="AC85" i="4"/>
  <c r="S45" i="4"/>
  <c r="S50" i="4"/>
  <c r="S51" i="4" s="1"/>
  <c r="S55" i="4"/>
  <c r="AA330" i="2"/>
  <c r="Y28" i="4"/>
  <c r="Z44" i="3"/>
  <c r="Z32" i="3"/>
  <c r="X45" i="3"/>
  <c r="X50" i="3"/>
  <c r="X51" i="3" s="1"/>
  <c r="X54" i="3"/>
  <c r="AA342" i="1"/>
  <c r="AA329" i="1"/>
  <c r="AA332" i="1"/>
  <c r="U362" i="2"/>
  <c r="W349" i="2"/>
  <c r="P95" i="4"/>
  <c r="P97" i="4" s="1"/>
  <c r="Q97" i="4" s="1"/>
  <c r="Q95" i="4" s="1"/>
  <c r="Q102" i="4" s="1"/>
  <c r="Z79" i="4"/>
  <c r="Z80" i="4" s="1"/>
  <c r="AA80" i="4" s="1"/>
  <c r="AA79" i="4" s="1"/>
  <c r="AA81" i="4" s="1"/>
  <c r="T59" i="4"/>
  <c r="Q62" i="4"/>
  <c r="Q67" i="4" s="1"/>
  <c r="R74" i="4"/>
  <c r="R79" i="4"/>
  <c r="S78" i="4"/>
  <c r="M64" i="3"/>
  <c r="N64" i="3" s="1"/>
  <c r="M67" i="3"/>
  <c r="K67" i="4"/>
  <c r="K65" i="4"/>
  <c r="M62" i="4"/>
  <c r="J65" i="4"/>
  <c r="Y31" i="4"/>
  <c r="Y44" i="4"/>
  <c r="V362" i="2"/>
  <c r="Y349" i="2"/>
  <c r="W55" i="4"/>
  <c r="W45" i="4"/>
  <c r="W50" i="4"/>
  <c r="AA347" i="2"/>
  <c r="AA349" i="2" s="1"/>
  <c r="AA336" i="2"/>
  <c r="AA333" i="2"/>
  <c r="N345" i="1"/>
  <c r="O55" i="3"/>
  <c r="N50" i="3"/>
  <c r="N45" i="3"/>
  <c r="W51" i="4" l="1"/>
  <c r="X332" i="1"/>
  <c r="X329" i="1"/>
  <c r="S59" i="4"/>
  <c r="S57" i="4"/>
  <c r="S47" i="4"/>
  <c r="AB90" i="4"/>
  <c r="AB88" i="4"/>
  <c r="AA345" i="1"/>
  <c r="Y58" i="3"/>
  <c r="X47" i="3"/>
  <c r="X55" i="3"/>
  <c r="X59" i="3"/>
  <c r="X58" i="3"/>
  <c r="Z45" i="3"/>
  <c r="Z54" i="3"/>
  <c r="Z50" i="3"/>
  <c r="Z51" i="3" s="1"/>
  <c r="R76" i="4"/>
  <c r="Q110" i="4"/>
  <c r="Q111" i="4" s="1"/>
  <c r="R111" i="4" s="1"/>
  <c r="R110" i="4" s="1"/>
  <c r="Q65" i="4"/>
  <c r="S62" i="4"/>
  <c r="S67" i="4" s="1"/>
  <c r="U95" i="4"/>
  <c r="U97" i="4" s="1"/>
  <c r="X97" i="4" s="1"/>
  <c r="X95" i="4" s="1"/>
  <c r="P64" i="3"/>
  <c r="P62" i="3" s="1"/>
  <c r="N62" i="3"/>
  <c r="M64" i="4"/>
  <c r="N64" i="4" s="1"/>
  <c r="M67" i="4"/>
  <c r="W57" i="4"/>
  <c r="W59" i="4"/>
  <c r="W47" i="4"/>
  <c r="Y55" i="4"/>
  <c r="Y45" i="4"/>
  <c r="Y50" i="4"/>
  <c r="Y51" i="4" s="1"/>
  <c r="Z59" i="3" l="1"/>
  <c r="Z47" i="3"/>
  <c r="Z58" i="3"/>
  <c r="Z55" i="3"/>
  <c r="R112" i="4"/>
  <c r="T110" i="4"/>
  <c r="T111" i="4" s="1"/>
  <c r="U111" i="4" s="1"/>
  <c r="U110" i="4" s="1"/>
  <c r="U112" i="4" s="1"/>
  <c r="S64" i="4"/>
  <c r="T64" i="4" s="1"/>
  <c r="T62" i="4" s="1"/>
  <c r="X102" i="4"/>
  <c r="W102" i="4"/>
  <c r="M65" i="3"/>
  <c r="N67" i="3"/>
  <c r="N65" i="3"/>
  <c r="P69" i="3"/>
  <c r="O64" i="4"/>
  <c r="O62" i="4" s="1"/>
  <c r="N62" i="4"/>
  <c r="Y47" i="4"/>
  <c r="Y59" i="4"/>
  <c r="Y57" i="4"/>
  <c r="W64" i="4" l="1"/>
  <c r="W62" i="4" s="1"/>
  <c r="M65" i="4"/>
  <c r="N67" i="4"/>
  <c r="N65" i="4"/>
  <c r="T65" i="4"/>
  <c r="X62" i="4"/>
  <c r="S65" i="4"/>
  <c r="T67" i="4"/>
  <c r="X64" i="4" l="1"/>
  <c r="Y64" i="4" s="1"/>
  <c r="X67" i="4"/>
  <c r="Y62" i="4" l="1"/>
  <c r="Z64" i="4"/>
  <c r="Z62" i="4" s="1"/>
  <c r="X65" i="4" l="1"/>
  <c r="Y67" i="4"/>
  <c r="Y65" i="4"/>
  <c r="H26" i="19" l="1"/>
  <c r="G28" i="19"/>
  <c r="U33" i="3" l="1"/>
  <c r="U44" i="3" s="1"/>
  <c r="U45" i="3" l="1"/>
  <c r="U58" i="3" s="1"/>
  <c r="R64" i="3"/>
  <c r="S64" i="3" s="1"/>
  <c r="S62" i="3" s="1"/>
  <c r="S69" i="3" s="1"/>
  <c r="U57" i="3"/>
  <c r="D57" i="3" s="1"/>
  <c r="U50" i="3"/>
  <c r="U74" i="3" l="1"/>
  <c r="T75" i="3"/>
  <c r="R62" i="3"/>
  <c r="T62" i="3" s="1"/>
  <c r="U53" i="3"/>
  <c r="U59" i="3"/>
  <c r="S97" i="3"/>
  <c r="S98" i="3" s="1"/>
  <c r="T98" i="3" s="1"/>
  <c r="U77" i="3"/>
  <c r="Z52" i="3"/>
  <c r="T97" i="3" l="1"/>
  <c r="V97" i="3" s="1"/>
  <c r="V98" i="3" s="1"/>
  <c r="X98" i="3" s="1"/>
  <c r="X97" i="3" s="1"/>
  <c r="X99" i="3" s="1"/>
  <c r="T100" i="3"/>
  <c r="R65" i="3"/>
  <c r="R67" i="3"/>
  <c r="X76" i="3"/>
  <c r="X57" i="3"/>
  <c r="T64" i="3"/>
  <c r="U64" i="3" s="1"/>
  <c r="T67" i="3"/>
  <c r="X77" i="3" l="1"/>
  <c r="T99" i="3"/>
  <c r="X64" i="3"/>
  <c r="X62" i="3" s="1"/>
  <c r="U62" i="3"/>
  <c r="Y77" i="3" l="1"/>
  <c r="Y76" i="3" s="1"/>
  <c r="Z76" i="3" s="1"/>
  <c r="U65" i="3"/>
  <c r="T65" i="3"/>
  <c r="U67" i="3"/>
  <c r="Y62" i="3"/>
  <c r="AB76" i="3" l="1"/>
  <c r="AB77" i="3" s="1"/>
  <c r="AC77" i="3" s="1"/>
  <c r="AC76" i="3" s="1"/>
  <c r="AD76" i="3" s="1"/>
  <c r="AA76" i="3"/>
  <c r="Y67" i="3"/>
  <c r="Y64" i="3"/>
  <c r="Z64" i="3" s="1"/>
  <c r="AA64" i="3" l="1"/>
  <c r="AA62" i="3" s="1"/>
  <c r="Z62" i="3"/>
  <c r="Z67" i="3" l="1"/>
  <c r="Y65" i="3"/>
  <c r="Z65" i="3"/>
  <c r="I28" i="21" l="1"/>
  <c r="G29" i="21" l="1"/>
</calcChain>
</file>

<file path=xl/comments1.xml><?xml version="1.0" encoding="utf-8"?>
<comments xmlns="http://schemas.openxmlformats.org/spreadsheetml/2006/main">
  <authors>
    <author>Шумская Жанна Витальевна</author>
  </authors>
  <commentList>
    <comment ref="H59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без очистных</t>
        </r>
      </text>
    </comment>
    <comment ref="J247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все затраты разнесены по статьям
</t>
        </r>
      </text>
    </comment>
    <comment ref="L439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в т.ч. 43422,70 по очистным Жуковка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1полугодии расход 104 тыс, буду ставить всю сумм уза год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 + долги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дизельгенератор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Шумская Жанна Витальевна</author>
  </authors>
  <commentList>
    <comment ref="C28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Вид авторанспорта, марка, модель, год выпуска</t>
        </r>
      </text>
    </comment>
    <comment ref="C28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user:
Вид авторанспорта, марка, модель, год выпуска</t>
        </r>
      </text>
    </comment>
    <comment ref="C28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user:
Вид авторанспорта, марка, модель, год выпуска</t>
        </r>
      </text>
    </comment>
    <comment ref="C28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C29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C2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специальность</t>
        </r>
      </text>
    </comment>
    <comment ref="M319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на уровне 2018</t>
        </r>
      </text>
    </comment>
    <comment ref="L366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рассчет пор формуле : сумма стоимости на каждое 1 число месяца /13
</t>
        </r>
      </text>
    </comment>
    <comment ref="C43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транспортное средство</t>
        </r>
      </text>
    </comment>
  </commentList>
</comments>
</file>

<file path=xl/comments3.xml><?xml version="1.0" encoding="utf-8"?>
<comments xmlns="http://schemas.openxmlformats.org/spreadsheetml/2006/main">
  <authors>
    <author>Шумская Жанна Витальевна</author>
  </authors>
  <commentLis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показываем 26 сч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20,23 сч
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утверждено Службой
</t>
        </r>
      </text>
    </comment>
    <comment ref="I63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данные из проекта Службы
</t>
        </r>
      </text>
    </comment>
    <comment ref="M63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утверждено Службой
</t>
        </r>
      </text>
    </comment>
  </commentList>
</comments>
</file>

<file path=xl/comments4.xml><?xml version="1.0" encoding="utf-8"?>
<comments xmlns="http://schemas.openxmlformats.org/spreadsheetml/2006/main">
  <authors>
    <author>user</author>
    <author>Шумская Жанна Витальевна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да/нет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W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Y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AA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Ответ: питьевая вода/ техническая вода</t>
        </r>
      </text>
    </comment>
    <comment ref="W83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проставила долгосрочные тарифы до 2023 года
</t>
        </r>
      </text>
    </comment>
    <comment ref="X83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проставила долгосрочные тарифы до 2023 года
</t>
        </r>
      </text>
    </comment>
    <comment ref="R120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в том числе 4297,77 по статье кап. ремонт
</t>
        </r>
      </text>
    </comment>
    <comment ref="Z268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 по 2019 учтена в НВВ 2021
</t>
        </r>
      </text>
    </comment>
  </commentList>
</comments>
</file>

<file path=xl/comments5.xml><?xml version="1.0" encoding="utf-8"?>
<comments xmlns="http://schemas.openxmlformats.org/spreadsheetml/2006/main">
  <authors>
    <author>Шумская Жанна Витальевна</author>
    <author>user</author>
  </authors>
  <commentList>
    <comment ref="M90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затртаы разнесены по статьям
</t>
        </r>
      </text>
    </comment>
    <comment ref="G193" authorId="0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ош
ибочно не указан
</t>
        </r>
      </text>
    </comment>
    <comment ref="K19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повтор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отпуск в сеть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после переоценки</t>
        </r>
      </text>
    </comment>
  </commentList>
</comments>
</file>

<file path=xl/comments7.xml><?xml version="1.0" encoding="utf-8"?>
<comments xmlns="http://schemas.openxmlformats.org/spreadsheetml/2006/main">
  <authors>
    <author>user</author>
    <author>Левченко Светлана Викторовна</author>
  </authors>
  <commentList>
    <comment ref="U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необходим расчет для э/закл в ФАС это без воды</t>
        </r>
      </text>
    </comment>
    <comment ref="U28" authorId="1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 учетом переоценки
</t>
        </r>
      </text>
    </comment>
    <comment ref="U37" authorId="1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Экономически обоснованные расходы - факт 2019г по тарифной заявке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после переоценки</t>
        </r>
      </text>
    </comment>
  </commentList>
</comments>
</file>

<file path=xl/comments9.xml><?xml version="1.0" encoding="utf-8"?>
<comments xmlns="http://schemas.openxmlformats.org/spreadsheetml/2006/main">
  <authors>
    <author>Левченко Светлана Викторовна</author>
    <author>Шумская Жанна Витальевна</author>
    <author>user</author>
  </authors>
  <commentList>
    <comment ref="T27" authorId="0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 учетом переоценки
</t>
        </r>
      </text>
    </comment>
    <comment ref="T35" authorId="0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по недополученным объемам 2018г 
- разбивка на 2020г-2022г равными долями</t>
        </r>
      </text>
    </comment>
    <comment ref="T37" authorId="0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Экономически обоснованные расходы - факт 2019г по тарифной заявке за минусом средств субсидиий из ОБ (2020г и 2021г), амортизации. Охрана, эл/энергия приняты
</t>
        </r>
      </text>
    </comment>
    <comment ref="V37" authorId="0">
      <text>
        <r>
          <rPr>
            <b/>
            <sz val="9"/>
            <color indexed="81"/>
            <rFont val="Tahoma"/>
            <family val="2"/>
            <charset val="204"/>
          </rPr>
          <t>Левченко Светлана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Экономически обоснованные расходы - факт 2019г по тарифной заявке за минусом средств субсидиий из ОБ (2020г и 2021г), амортизации. Охрана, эл/энергия приняты
</t>
        </r>
      </text>
    </comment>
    <comment ref="M48" authorId="1">
      <text>
        <r>
          <rPr>
            <b/>
            <sz val="9"/>
            <color indexed="81"/>
            <rFont val="Tahoma"/>
            <family val="2"/>
            <charset val="204"/>
          </rPr>
          <t>Шумская Жанна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должнро быть 53901,84
</t>
        </r>
      </text>
    </comment>
    <comment ref="X48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ПП предприятия на 2021-2023</t>
        </r>
      </text>
    </comment>
    <comment ref="Z48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произв. Прогр предприятия</t>
        </r>
      </text>
    </comment>
  </commentList>
</comments>
</file>

<file path=xl/sharedStrings.xml><?xml version="1.0" encoding="utf-8"?>
<sst xmlns="http://schemas.openxmlformats.org/spreadsheetml/2006/main" count="7038" uniqueCount="1833">
  <si>
    <t xml:space="preserve">Калькуляция затрат питьевого водоснабжения организации </t>
  </si>
  <si>
    <t>Чтобы добавить долгосрочный период нажмите на сером поле +</t>
  </si>
  <si>
    <t>Категория</t>
  </si>
  <si>
    <t>Единица измерения</t>
  </si>
  <si>
    <t>Отчетный период 2015 год</t>
  </si>
  <si>
    <t>Отчетный период 2016 год</t>
  </si>
  <si>
    <t>Отчетный период 2017 год</t>
  </si>
  <si>
    <t>Базовый период 2018 год</t>
  </si>
  <si>
    <t>Плановый период 2019 год</t>
  </si>
  <si>
    <t>Плановый период 2020 год</t>
  </si>
  <si>
    <t>Плановый период 2021 год</t>
  </si>
  <si>
    <t>Плановый период 2022 год</t>
  </si>
  <si>
    <t>Плановый период 2023 год</t>
  </si>
  <si>
    <t>Предусмотрено в тарифе</t>
  </si>
  <si>
    <t>Факт по данным организации</t>
  </si>
  <si>
    <t>Ожидаемое исполнение по данным организации</t>
  </si>
  <si>
    <t>Данные организации</t>
  </si>
  <si>
    <t>Принято СГРЦиТ</t>
  </si>
  <si>
    <t>Является ли организация плательщиком НДС</t>
  </si>
  <si>
    <t>питьевая</t>
  </si>
  <si>
    <t>1</t>
  </si>
  <si>
    <t>Производственные расходы</t>
  </si>
  <si>
    <t>тыс.руб.</t>
  </si>
  <si>
    <t>ОР</t>
  </si>
  <si>
    <t>1.1</t>
  </si>
  <si>
    <t>Расходы на приобретение сырья и материалов и их хранение</t>
  </si>
  <si>
    <t>1.1.1</t>
  </si>
  <si>
    <t>Реагенты  ( полная расшифровка на двух листах: "Реагенты"+ "Расшифровки"</t>
  </si>
  <si>
    <t>Цена за единицу</t>
  </si>
  <si>
    <t>руб./ед.</t>
  </si>
  <si>
    <t>Объём (указать единицу измерения: кг, тн)</t>
  </si>
  <si>
    <t>ед.</t>
  </si>
  <si>
    <t>1.1.2</t>
  </si>
  <si>
    <t>Горюче-смазочные материалы</t>
  </si>
  <si>
    <t>1.1.3</t>
  </si>
  <si>
    <t>Материалы и малоценные основные средства</t>
  </si>
  <si>
    <t>ЭР</t>
  </si>
  <si>
    <t>1.2</t>
  </si>
  <si>
    <t>Расходы на энергетические ресурсы и холодную воду</t>
  </si>
  <si>
    <t>удельный расход электроэнергии</t>
  </si>
  <si>
    <t>кВт*ч/куб.м.</t>
  </si>
  <si>
    <t>1.2.1</t>
  </si>
  <si>
    <t xml:space="preserve">электроэнергия </t>
  </si>
  <si>
    <t>1.2.1.1</t>
  </si>
  <si>
    <t>Объём покупной энергии</t>
  </si>
  <si>
    <t>1.2.1.1.1</t>
  </si>
  <si>
    <t>Объём покупной энергии по одноставочному тарифу</t>
  </si>
  <si>
    <t>тыс.кВт*ч</t>
  </si>
  <si>
    <t>1.2.1.1.1.1</t>
  </si>
  <si>
    <t>НН</t>
  </si>
  <si>
    <t>1.2.1.1.1.2</t>
  </si>
  <si>
    <t>СН1</t>
  </si>
  <si>
    <t>1.2.1.1.1.3</t>
  </si>
  <si>
    <t>СН2</t>
  </si>
  <si>
    <t>1.2.1.1.1.4</t>
  </si>
  <si>
    <t>ВН</t>
  </si>
  <si>
    <t>1.2.1.1.1.5</t>
  </si>
  <si>
    <t>без разбивки по напряжению</t>
  </si>
  <si>
    <t>1.2.1.1.2</t>
  </si>
  <si>
    <t>Объём покупной электроэнергии по двухставочному тарифу</t>
  </si>
  <si>
    <t>1.2.1.1.2.1</t>
  </si>
  <si>
    <t>Мощность</t>
  </si>
  <si>
    <t>МВт*мес</t>
  </si>
  <si>
    <t>1.2.1.1.2.1.1</t>
  </si>
  <si>
    <t>1.2.1.1.2.1.2</t>
  </si>
  <si>
    <t>1.2.1.1.2.1.3</t>
  </si>
  <si>
    <t>1.2.1.1.2.1.4</t>
  </si>
  <si>
    <t>1.2.1.1.2.1.5</t>
  </si>
  <si>
    <t>ГН</t>
  </si>
  <si>
    <t>1.2.1.1.2.2</t>
  </si>
  <si>
    <t>Активная электроэнергия</t>
  </si>
  <si>
    <t>1.2.1.1.2.2.1</t>
  </si>
  <si>
    <t>1.2.1.1.2.2.2</t>
  </si>
  <si>
    <t>1.2.1.1.2.2.3</t>
  </si>
  <si>
    <t>1.2.1.1.2.2.4</t>
  </si>
  <si>
    <t>1.2.1.1.2.2.5</t>
  </si>
  <si>
    <t>1.2.1.2</t>
  </si>
  <si>
    <t>Тариф на электроэнергию и мощность</t>
  </si>
  <si>
    <t>1.2.1.2.1</t>
  </si>
  <si>
    <t>по одноставочному тарифу</t>
  </si>
  <si>
    <t>1.2.1.2.1.1</t>
  </si>
  <si>
    <t>руб./кВт*ч</t>
  </si>
  <si>
    <t>1.2.1.2.1.2</t>
  </si>
  <si>
    <t>1.2.1.2.1.3</t>
  </si>
  <si>
    <t>1.2.1.2.1.4</t>
  </si>
  <si>
    <t>1.2.1.2.1.5</t>
  </si>
  <si>
    <t>1.2.1.2.1.6</t>
  </si>
  <si>
    <t>Средний одноставочный тариф на электрическую энергию</t>
  </si>
  <si>
    <t>1.2.1.2.2</t>
  </si>
  <si>
    <t>по двухставочному тарифу</t>
  </si>
  <si>
    <t>1.2.1.2.2.1</t>
  </si>
  <si>
    <t>ставка за мощность</t>
  </si>
  <si>
    <t>руб./МВт*мес</t>
  </si>
  <si>
    <t>1.2.1.2.2.1.1</t>
  </si>
  <si>
    <t>1.2.1.2.2.1.2</t>
  </si>
  <si>
    <t>1.2.1.2.2.1.3</t>
  </si>
  <si>
    <t>1.2.1.2.2.1.4</t>
  </si>
  <si>
    <t>1.2.1.2.2.1.5</t>
  </si>
  <si>
    <t>1.2.1.2.2.2</t>
  </si>
  <si>
    <t>ставка за электроэнергию</t>
  </si>
  <si>
    <t>руб./кВт*мес</t>
  </si>
  <si>
    <t>1.2.1.2.2.2.1</t>
  </si>
  <si>
    <t>1.2.1.2.2.2.2</t>
  </si>
  <si>
    <t>1.2.1.2.2.2.3</t>
  </si>
  <si>
    <t>1.2.1.2.2.2.4</t>
  </si>
  <si>
    <t>1.2.1.2.2.2.5</t>
  </si>
  <si>
    <t>1.2.1.3</t>
  </si>
  <si>
    <t>Затраты на покупку энергии по одноставочному тарифу</t>
  </si>
  <si>
    <t>1.2.1.3.1</t>
  </si>
  <si>
    <t>1.2.1.3.2</t>
  </si>
  <si>
    <t>1.2.1.3.3</t>
  </si>
  <si>
    <t>1.2.1.3.4</t>
  </si>
  <si>
    <t>1.2.1.3.5</t>
  </si>
  <si>
    <t>1.2.1.4</t>
  </si>
  <si>
    <t>Затраты на покупку мощности по двухставочному тарифу</t>
  </si>
  <si>
    <t>1.2.1.4.1</t>
  </si>
  <si>
    <t>1.2.1.4.2</t>
  </si>
  <si>
    <t>1.2.1.4.3</t>
  </si>
  <si>
    <t>1.2.1.4.4</t>
  </si>
  <si>
    <t>1.2.1.4.5</t>
  </si>
  <si>
    <t>1.2.1.5</t>
  </si>
  <si>
    <t>Затраты на покупку энергии по двухставочному тарифу</t>
  </si>
  <si>
    <t>1.2.1.5.1</t>
  </si>
  <si>
    <t>1.2.1.5.2</t>
  </si>
  <si>
    <t>1.2.1.5.3</t>
  </si>
  <si>
    <t>1.2.1.5.4</t>
  </si>
  <si>
    <t>1.2.1.5.5</t>
  </si>
  <si>
    <t>1.2.2</t>
  </si>
  <si>
    <t>теплоэнергия</t>
  </si>
  <si>
    <t>1.2.3</t>
  </si>
  <si>
    <t>1.2.4</t>
  </si>
  <si>
    <t>1.2.5</t>
  </si>
  <si>
    <t>холодная вода</t>
  </si>
  <si>
    <t>ООО "Дельта"</t>
  </si>
  <si>
    <t>1.2.5.1</t>
  </si>
  <si>
    <t>цена</t>
  </si>
  <si>
    <t>руб./куб.м</t>
  </si>
  <si>
    <t>1.2.5.2</t>
  </si>
  <si>
    <t>объём</t>
  </si>
  <si>
    <t>тыс.куб.м</t>
  </si>
  <si>
    <t>ООО "69 РАВЗ"</t>
  </si>
  <si>
    <t>1.2.5.3</t>
  </si>
  <si>
    <t>1.2.5.4</t>
  </si>
  <si>
    <t>1.3</t>
  </si>
  <si>
    <t>1.4</t>
  </si>
  <si>
    <t xml:space="preserve">Расходы на оплату труда и отчисления на социальные нужды основного производственного персонала, в том числе налоги и сборы </t>
  </si>
  <si>
    <t>1.4.1</t>
  </si>
  <si>
    <t>Расходы на оплату труда производственного персонала:</t>
  </si>
  <si>
    <t>1.4.1.1</t>
  </si>
  <si>
    <t>Численность (среднесписочная), принятая для расчёта</t>
  </si>
  <si>
    <t>1.4.1.2</t>
  </si>
  <si>
    <t>Среднемесячная оплата труда основного производственного персонала</t>
  </si>
  <si>
    <t>руб./мес.</t>
  </si>
  <si>
    <t>1.4.1.3</t>
  </si>
  <si>
    <t>Фактическая численность основного производственного персонала, относимого на регулируемый вид деятельности</t>
  </si>
  <si>
    <t>1.4.1.4</t>
  </si>
  <si>
    <t>Справочно: нормативная численность основного производственного персонала, относимого на регулируемый вид деятельности</t>
  </si>
  <si>
    <t>1.4.1.5</t>
  </si>
  <si>
    <t>Тарифная ставка рабочего 1-го разряда</t>
  </si>
  <si>
    <t>1.4.1.6</t>
  </si>
  <si>
    <t>Индекс роста номинальной заработной платы</t>
  </si>
  <si>
    <t>1.4.1.7</t>
  </si>
  <si>
    <t>Тарифная ставка рабочего 1-го разряда с учётом дефлятора</t>
  </si>
  <si>
    <t>1.4.1.8</t>
  </si>
  <si>
    <t>Средний тарифный коэффициент</t>
  </si>
  <si>
    <t>1.4.1.9</t>
  </si>
  <si>
    <t>Среднемесячная тарифная ставка</t>
  </si>
  <si>
    <t>1.4.1.10</t>
  </si>
  <si>
    <t>Минимальный размер оплаты труда по отраслевому тарифному соглашению</t>
  </si>
  <si>
    <t>1.4.2</t>
  </si>
  <si>
    <t>Отчисления на социальные нужды производственного персонала, в том числе налоги и сборы</t>
  </si>
  <si>
    <t>НР</t>
  </si>
  <si>
    <t>1.5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</si>
  <si>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</si>
  <si>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</t>
  </si>
  <si>
    <t>Общехозяйственные расходы</t>
  </si>
  <si>
    <t>1.7</t>
  </si>
  <si>
    <t>Прочие производственные расходы</t>
  </si>
  <si>
    <t>1.7.1</t>
  </si>
  <si>
    <t>Расходы на амортизацию транспорта</t>
  </si>
  <si>
    <t>1.7.3</t>
  </si>
  <si>
    <t>Расходы на аварийно-диспетчерское обслуживание</t>
  </si>
  <si>
    <t>1.7.4</t>
  </si>
  <si>
    <t>Охрана режимных объектов ( ВНС, ВВС, ЮВС2, ЦВС)</t>
  </si>
  <si>
    <t>1.7.5</t>
  </si>
  <si>
    <t>Охрана труда</t>
  </si>
  <si>
    <t>1.8</t>
  </si>
  <si>
    <t>Цеховые расходы</t>
  </si>
  <si>
    <t>1.8.1</t>
  </si>
  <si>
    <t>Расходы на оплату труда цехового персонала</t>
  </si>
  <si>
    <t>1.8.2</t>
  </si>
  <si>
    <t>Отчисления на социальные нужды цехового персонала, в том числе налоги и сборы</t>
  </si>
  <si>
    <t>1.8.3</t>
  </si>
  <si>
    <t>Расходы на охрану труда</t>
  </si>
  <si>
    <t>1.8.4</t>
  </si>
  <si>
    <t>Прочие</t>
  </si>
  <si>
    <t>2</t>
  </si>
  <si>
    <t>Ремонтные расходы</t>
  </si>
  <si>
    <t>2.1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</si>
  <si>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</si>
  <si>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2.1.1</t>
  </si>
  <si>
    <t>Справочно: расходы на текущий ремонт, предусмотренные производственной программой регулируемой организации</t>
  </si>
  <si>
    <t>2.2</t>
  </si>
  <si>
    <t>Расходы на капитальный ремонт централизованных систем водоснабжения и (или водоотведения) либо объектов, входящих в состав таких систем</t>
  </si>
  <si>
    <t>2.2.1</t>
  </si>
  <si>
    <t>Справочно: расходы на капитальный ремонт, предусмотренные производственной программой регулируемой организации</t>
  </si>
  <si>
    <t>2.3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</si>
  <si>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</si>
  <si>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</si>
  <si>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</si>
  <si>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2.3.1.1</t>
  </si>
  <si>
    <t>2.3.1.2</t>
  </si>
  <si>
    <t>Среднемесячная оплата труда ремонтного персонала</t>
  </si>
  <si>
    <t>2.3.1.3</t>
  </si>
  <si>
    <t>Фактическая численность ремонтного персонала, относимого на регулируемый вид деятельности</t>
  </si>
  <si>
    <t>2.3.1.4</t>
  </si>
  <si>
    <t>Справочно: нормативная численность ремонтного персонала, относимого на регулируемый вид деятельности</t>
  </si>
  <si>
    <t>2.3.1.5</t>
  </si>
  <si>
    <t>2.3.1.6</t>
  </si>
  <si>
    <t>2.3.1.7</t>
  </si>
  <si>
    <t>2.3.1.8</t>
  </si>
  <si>
    <t>2.3.1.9</t>
  </si>
  <si>
    <t>2.3.1.10</t>
  </si>
  <si>
    <t>2.3.2</t>
  </si>
  <si>
    <t>Отчисления на социальные нужды ремонтного персонала, в том числе налоги и сборы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</si>
  <si>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</si>
  <si>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</si>
  <si>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</si>
  <si>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</si>
  <si>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</si>
  <si>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</si>
  <si>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</si>
  <si>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</si>
  <si>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</si>
  <si>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</si>
  <si>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</si>
  <si>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</si>
  <si>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</si>
  <si>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</si>
  <si>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</si>
  <si>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</si>
  <si>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 xml:space="preserve">Транспортно-экспед. Расходы </t>
  </si>
  <si>
    <t>3.1.8</t>
  </si>
  <si>
    <t>Услуги банка</t>
  </si>
  <si>
    <t>3.2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</si>
  <si>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</si>
  <si>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</si>
  <si>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</si>
  <si>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3.2.1.1</t>
  </si>
  <si>
    <t>3.2.1.2</t>
  </si>
  <si>
    <t>Среднемесячная оплата труда административно-управленческого персонала</t>
  </si>
  <si>
    <t>3.2.1.3</t>
  </si>
  <si>
    <t>Фактическая численность административно-управленческого персонала, относимого на регулируемый вид деятельности</t>
  </si>
  <si>
    <t>3.2.1.4</t>
  </si>
  <si>
    <t>Справочно: нормативная численность административно-управленческого персонала, относимого на регулируемый вид деятельности</t>
  </si>
  <si>
    <t>3.2.1.5</t>
  </si>
  <si>
    <t>3.2.1.6</t>
  </si>
  <si>
    <t>3.2.1.7</t>
  </si>
  <si>
    <t>3.2.1.8</t>
  </si>
  <si>
    <t>3.2.1.9</t>
  </si>
  <si>
    <t>3.2.1.10</t>
  </si>
  <si>
    <t>3.2.2</t>
  </si>
  <si>
    <t>Отчисления на социальные нужды административно-управленческого персонала, в том числе налоги и сборы</t>
  </si>
  <si>
    <t>3.3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</si>
  <si>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</si>
  <si>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</si>
  <si>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</si>
  <si>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</si>
  <si>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</si>
  <si>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</si>
  <si>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</si>
  <si>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Оргтехника и обслуживание офисного оборудования</t>
  </si>
  <si>
    <t>3.8</t>
  </si>
  <si>
    <t>Ремонт офисного оборудования</t>
  </si>
  <si>
    <t>3.9</t>
  </si>
  <si>
    <t>Почтовые расходы,подписка</t>
  </si>
  <si>
    <t>3.10</t>
  </si>
  <si>
    <t>Канцелярские и типографские товары</t>
  </si>
  <si>
    <t>3.11</t>
  </si>
  <si>
    <t>Стоимость газа для отопления офиса</t>
  </si>
  <si>
    <t>3.12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</si>
  <si>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</si>
  <si>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</si>
  <si>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</si>
  <si>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</si>
  <si>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</si>
  <si>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</si>
  <si>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</si>
  <si>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А</t>
  </si>
  <si>
    <t>Амортизация</t>
  </si>
  <si>
    <t>5.1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</si>
  <si>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</si>
  <si>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Расходы на арендную плату, лизинговые платежи, концессионную плату, связанные с арендой (лизингом) централизованных систем водоснабжения и (или) водоотведения либо объектов, входящих в состав таких систем</t>
  </si>
  <si>
    <t>6.1</t>
  </si>
  <si>
    <t>Аренда имущества</t>
  </si>
  <si>
    <t>6.1.1</t>
  </si>
  <si>
    <t>Аренда объектов в государственной собственности</t>
  </si>
  <si>
    <t>6.1.2</t>
  </si>
  <si>
    <t>Аренда объектов в муниципальной собственности</t>
  </si>
  <si>
    <t>6.1.3</t>
  </si>
  <si>
    <t>Прочее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</si>
  <si>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</si>
  <si>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</si>
  <si>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</si>
  <si>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</si>
  <si>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</si>
  <si>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 ( в налогах)</t>
  </si>
  <si>
    <t>6.5</t>
  </si>
  <si>
    <t>Иное</t>
  </si>
  <si>
    <t>Расходы, связанные с уплатой налогов и сборов, связанные с арендой (лизингом) централизованных систем водоснабжения и (или) водоотведения либо объектов, входящих в состав таких систем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</si>
  <si>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</si>
  <si>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</si>
  <si>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</si>
  <si>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</si>
  <si>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</si>
  <si>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</si>
  <si>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</si>
  <si>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</si>
  <si>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</si>
  <si>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 ( Аренда земли)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</si>
  <si>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</si>
  <si>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</si>
  <si>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</si>
  <si>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</si>
  <si>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8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</si>
  <si>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</si>
  <si>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9</t>
  </si>
  <si>
    <t>Расходы на обслуживание бесхозяйных сетей</t>
  </si>
  <si>
    <t>10</t>
  </si>
  <si>
    <t>Прочие неподконтрольные расходы</t>
  </si>
  <si>
    <t>11</t>
  </si>
  <si>
    <t>Итого расходы</t>
  </si>
  <si>
    <t>12</t>
  </si>
  <si>
    <t>Недополученные доходы / Выпадающие расходы</t>
  </si>
  <si>
    <t>По результатам досудебного рассмотрения споров</t>
  </si>
  <si>
    <t>По результатам рассмотрения разногласий</t>
  </si>
  <si>
    <t>Экономически обоснованные расходы, не учтённые органом регулирования при установлении тарифов на товары (работы, услуги) в прошлом периоде</t>
  </si>
  <si>
    <t>Экономически обоснованные расходы, понесённые за отчётные периоды:</t>
  </si>
  <si>
    <t>расходы, связанные с незапланированным ростом цен на продукцию</t>
  </si>
  <si>
    <t>расходы, связанные с обслуживанием заёмных средств, привлекаемых для покрытия недостатка средств</t>
  </si>
  <si>
    <t>в т.ч. покрытие недостатка средств, вызванного осуществлением расчётов за коммунальную услугу по отоплению равномерно в течение календарного года</t>
  </si>
  <si>
    <t>Экономически необосновананных расходы прошлых периодов</t>
  </si>
  <si>
    <t>13</t>
  </si>
  <si>
    <t>Избыток средств, полученный за отчётные периоды регулирования</t>
  </si>
  <si>
    <t>14</t>
  </si>
  <si>
    <t>Перекрёстное субсидирование</t>
  </si>
  <si>
    <t>П</t>
  </si>
  <si>
    <t>15</t>
  </si>
  <si>
    <t>Прибыль</t>
  </si>
  <si>
    <t>15.1</t>
  </si>
  <si>
    <t>Расчётная предпринимательская прибыль</t>
  </si>
  <si>
    <t>15.1.1</t>
  </si>
  <si>
    <t>Справочно: расчётная предпринимательская прибыль</t>
  </si>
  <si>
    <t>%</t>
  </si>
  <si>
    <t>15.2</t>
  </si>
  <si>
    <t>Нормативная прибыль / капитальные вложения / инвестиции</t>
  </si>
  <si>
    <t>15.2.1</t>
  </si>
  <si>
    <t>Средства на возврат займов и кредитов, привлекаемых на реализацию ИП регулируемой организации, в размере, определяемом исходя из срока их возврата, предусмотренного договорами займа и кредитными договорами, в том числе расходы на привлечение и погашение таких займов и кредитов, а также проценты по таким займам и кредитам</t>
  </si>
  <si>
    <t>15.2.2</t>
  </si>
  <si>
    <t>Расходы на капитальные вложения (инвестиции), определяемые в соответствии с утверждёнными ИП регулируемых организаций, за исключением расходов, финансируемых за счёт надбавок к ценам (тарифам) для потребителей услуг ОКК, установленных до 01.01.2013 г. в соответствии с Федеральным законом №210-ФЗ, платы за подключение (технологическое присоединение), амортизации, заёмных средств, средств бюджетов бюджетной системы Российской Федерации</t>
  </si>
  <si>
    <t>15.2.3</t>
  </si>
  <si>
    <t>Экономически обоснованные расходы на выплаты, предусмотренные коллективными договорами, не учитываемые при определении налоговой базы налога на прибыль (расходов, относимых на прибыль после налогообложения), в соответствии с НК РФ</t>
  </si>
  <si>
    <t>15.2.4</t>
  </si>
  <si>
    <t>Справочно: Ставка налога на прибыль</t>
  </si>
  <si>
    <t>15.2.6</t>
  </si>
  <si>
    <t>Справочно: Нормативный уровень прибыли</t>
  </si>
  <si>
    <t>15.2.7</t>
  </si>
  <si>
    <t>Справочно: Расчёт источников финансирования капитальных вложений</t>
  </si>
  <si>
    <t>15.3</t>
  </si>
  <si>
    <t>Объём капитальных вложений</t>
  </si>
  <si>
    <t>15.3.1</t>
  </si>
  <si>
    <t>15.3.2</t>
  </si>
  <si>
    <t>15.3.3</t>
  </si>
  <si>
    <t>15.3.4</t>
  </si>
  <si>
    <t>прочее</t>
  </si>
  <si>
    <t>15.4</t>
  </si>
  <si>
    <t>Финансирование капитальных вложений</t>
  </si>
  <si>
    <t>15.4.1</t>
  </si>
  <si>
    <t>Амортизационных отчислений на полное восстановление основных фондов (100%)</t>
  </si>
  <si>
    <t>15.4.1.1</t>
  </si>
  <si>
    <t>в т.ч за счёт переоценки основных средств и нематериальных активов</t>
  </si>
  <si>
    <t>15.4.2</t>
  </si>
  <si>
    <t>Неиспользованных средств на начало года</t>
  </si>
  <si>
    <t>15.4.3</t>
  </si>
  <si>
    <t>15.4.4</t>
  </si>
  <si>
    <t>Федеральный бюджет</t>
  </si>
  <si>
    <t>15.4.5</t>
  </si>
  <si>
    <t>Местный бюджет</t>
  </si>
  <si>
    <t>15.4.6</t>
  </si>
  <si>
    <t>Региональный (республиканский, краевой, областной) бюджет</t>
  </si>
  <si>
    <t>15.4.7</t>
  </si>
  <si>
    <t>15.4.8</t>
  </si>
  <si>
    <t>Займы и кредиты</t>
  </si>
  <si>
    <t>15.4.9</t>
  </si>
  <si>
    <t>Средства, полученные от реализации ценных бумаг</t>
  </si>
  <si>
    <t>15.4.10</t>
  </si>
  <si>
    <t>Плата за подключение</t>
  </si>
  <si>
    <t>Метод индексации / Метод доходности инвестированного капитала / Метод сравнения аналогов</t>
  </si>
  <si>
    <t>Э.1.1</t>
  </si>
  <si>
    <t>Экономия операционных расходов</t>
  </si>
  <si>
    <t>Прирост экономии</t>
  </si>
  <si>
    <t>Э.1.2</t>
  </si>
  <si>
    <t>Суммарная экономия неподконтрольных расходов</t>
  </si>
  <si>
    <t>Э.1.3</t>
  </si>
  <si>
    <t>Экономия от снижения потребления ТЭ</t>
  </si>
  <si>
    <t>Э.1.4</t>
  </si>
  <si>
    <t>Экономия от снижения потребления ЭЭ</t>
  </si>
  <si>
    <t>Э.1.5</t>
  </si>
  <si>
    <t>Экономия от снижения потребления топлива</t>
  </si>
  <si>
    <t>Э.1.6</t>
  </si>
  <si>
    <t>Экономия от снижения потребления ХВС</t>
  </si>
  <si>
    <t>Э.1.7</t>
  </si>
  <si>
    <t>Экономия от снижения потребления ВО</t>
  </si>
  <si>
    <t>Э.1.8</t>
  </si>
  <si>
    <t>Экономия от снижения потребления ТН</t>
  </si>
  <si>
    <t>Э.1.9</t>
  </si>
  <si>
    <t>Экономия от снижения потребления ГВС</t>
  </si>
  <si>
    <t>Метод индексации</t>
  </si>
  <si>
    <t>I.1.1</t>
  </si>
  <si>
    <t>Индекс эффективности расходов</t>
  </si>
  <si>
    <t>I.1.2</t>
  </si>
  <si>
    <t>Индекс потребительских цен</t>
  </si>
  <si>
    <t>I.1.3</t>
  </si>
  <si>
    <t>Индекс количества активов</t>
  </si>
  <si>
    <t>I.2</t>
  </si>
  <si>
    <t>Корректировка НВВ</t>
  </si>
  <si>
    <t>I.2.1</t>
  </si>
  <si>
    <t>Отклонение фактически достигнутого объёма поданной воды или принятых сточных вод</t>
  </si>
  <si>
    <t>I.2.2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</si>
  <si>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</si>
  <si>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I.2.3</t>
  </si>
  <si>
    <t>Отклонение фактически достигнутого уровня неподконтрольных расходов</t>
  </si>
  <si>
    <t>I.2.4</t>
  </si>
  <si>
    <t>Ввод объектов системы водоснабжения и (или) водоотведения в эксплуатацию и изменение утверждённой инвестиционной программы</t>
  </si>
  <si>
    <t>I.2.5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</si>
  <si>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(или) водоотведения</t>
  </si>
  <si>
    <t>I.2.6</t>
  </si>
  <si>
    <t>Размер корректировки НВВ, осуществляемой с целью учёта отклонения фактических значений параметров расчёта тарифов от значений, учтённых при установлении тарифов</t>
  </si>
  <si>
    <t>I.3</t>
  </si>
  <si>
    <t>Суммарная корректировка НВВ</t>
  </si>
  <si>
    <t>I.S</t>
  </si>
  <si>
    <t>Величина сглаживания НВВ</t>
  </si>
  <si>
    <t>Метод доходности инвестированного капитала</t>
  </si>
  <si>
    <t>R.1.1</t>
  </si>
  <si>
    <t>R.1.2</t>
  </si>
  <si>
    <t>R.1.3</t>
  </si>
  <si>
    <t>Возврат капитала</t>
  </si>
  <si>
    <t>R.1.2.1</t>
  </si>
  <si>
    <t>Полная величина инвестированного капитала</t>
  </si>
  <si>
    <t>R.1.2.2</t>
  </si>
  <si>
    <t>Срок возврата инвестированного капитала</t>
  </si>
  <si>
    <t>лет</t>
  </si>
  <si>
    <t>Доход на инвестированный капитал</t>
  </si>
  <si>
    <t>R.1.3.1</t>
  </si>
  <si>
    <t>Первоначальный размер инвестированного капитала</t>
  </si>
  <si>
    <t>R.1.3.2</t>
  </si>
  <si>
    <t>Доходность первоначального размера инвестированного капитала</t>
  </si>
  <si>
    <t>R.1.3.3</t>
  </si>
  <si>
    <t>База инвестированного капитала</t>
  </si>
  <si>
    <t>R.1.3.4</t>
  </si>
  <si>
    <t>Чистый оборотный капитал</t>
  </si>
  <si>
    <t>R.1.3.4.1</t>
  </si>
  <si>
    <t>Норматив чистого оборотного капитала</t>
  </si>
  <si>
    <t>R.1.3.5</t>
  </si>
  <si>
    <t>Норма доходности</t>
  </si>
  <si>
    <t>R.1.3.5.1</t>
  </si>
  <si>
    <t>Норма доходности нового капитала</t>
  </si>
  <si>
    <t>R.1.3.5.2</t>
  </si>
  <si>
    <t>Норма доходности старого капитала</t>
  </si>
  <si>
    <t>R.1.4</t>
  </si>
  <si>
    <t>R.2</t>
  </si>
  <si>
    <t>R.2.1</t>
  </si>
  <si>
    <t>R.2.2</t>
  </si>
  <si>
    <t>R.2.3</t>
  </si>
  <si>
    <t>R.2.4</t>
  </si>
  <si>
    <t>R.2.5</t>
  </si>
  <si>
    <t>Изменение доходности долгосрочных государственных обязательств</t>
  </si>
  <si>
    <t>R.2.6</t>
  </si>
  <si>
    <t>R.3</t>
  </si>
  <si>
    <t>R.S</t>
  </si>
  <si>
    <t>Метод сравнения аналогов</t>
  </si>
  <si>
    <t>A.1.1</t>
  </si>
  <si>
    <t>A.1.2</t>
  </si>
  <si>
    <t>A.1</t>
  </si>
  <si>
    <t>Удельные текущие расходы</t>
  </si>
  <si>
    <t>тыс.руб./усл. м</t>
  </si>
  <si>
    <t>текущие расходы гарантирующей организации</t>
  </si>
  <si>
    <t>протяженность сети гарантирующей организации</t>
  </si>
  <si>
    <t>усл. м</t>
  </si>
  <si>
    <t>A.1.3</t>
  </si>
  <si>
    <t>протяженность сети организации</t>
  </si>
  <si>
    <t>A.2</t>
  </si>
  <si>
    <t>Нормативный уровень расходов на амортизацию</t>
  </si>
  <si>
    <t>A.2.1</t>
  </si>
  <si>
    <t>норматив амортизации</t>
  </si>
  <si>
    <t>A.3</t>
  </si>
  <si>
    <t>Корректировка НВВ с учётом отклонения фактических значений ИПЦ от значений, учтённых при установлении тарифов</t>
  </si>
  <si>
    <t>Операционные расходы</t>
  </si>
  <si>
    <t>Неподконтрольные расходы</t>
  </si>
  <si>
    <t>Расходы на приобретение (производство) энергетических ресурсов</t>
  </si>
  <si>
    <t>S.1</t>
  </si>
  <si>
    <t>Необходимая валовая выручка без НДС</t>
  </si>
  <si>
    <t>S.2</t>
  </si>
  <si>
    <t>Необходимая валовая выручка с НДС</t>
  </si>
  <si>
    <t>S.3</t>
  </si>
  <si>
    <t>Инвестиционная надбавка, без НДС</t>
  </si>
  <si>
    <t>S.4</t>
  </si>
  <si>
    <t>Инвестиционная надбавка, с НДС</t>
  </si>
  <si>
    <t>S.5</t>
  </si>
  <si>
    <t>Необходимая валовая выручка с учётом инвестиционной надбавки, без НДС</t>
  </si>
  <si>
    <t>S.6</t>
  </si>
  <si>
    <t>Необходимая валовая выручка с учётом инвестиционной надбавки, с НДС</t>
  </si>
  <si>
    <t>UI.TTL</t>
  </si>
  <si>
    <t>население, в т.ч. УК</t>
  </si>
  <si>
    <t>бюджетные потребители</t>
  </si>
  <si>
    <t>прочие</t>
  </si>
  <si>
    <t>собственное потребление</t>
  </si>
  <si>
    <t xml:space="preserve">расчетная  прибыль </t>
  </si>
  <si>
    <t>Калькуляция затрат водоотведения</t>
  </si>
  <si>
    <t xml:space="preserve">Калькуляция затрат на водоотведение </t>
  </si>
  <si>
    <t>да</t>
  </si>
  <si>
    <r>
      <t>Реагенты  (</t>
    </r>
    <r>
      <rPr>
        <sz val="7"/>
        <rFont val="Tahoma"/>
        <family val="2"/>
        <charset val="204"/>
      </rPr>
      <t xml:space="preserve"> расшифровка на листе Реагенты и Расшифровка ВО)</t>
    </r>
  </si>
  <si>
    <t>водоотведение</t>
  </si>
  <si>
    <t>расходы на очистные  разнесены по статьям</t>
  </si>
  <si>
    <t>Контроль сточных вод</t>
  </si>
  <si>
    <t>Услуги по обращению с осадком сточных вод</t>
  </si>
  <si>
    <t>1.7.6.</t>
  </si>
  <si>
    <t>Расходы на охрану режимных объектов</t>
  </si>
  <si>
    <t>1.7.7</t>
  </si>
  <si>
    <t>Расходы на одержание очистных сооружений, охрану</t>
  </si>
  <si>
    <t>Трансопртно-экспед. услуги</t>
  </si>
  <si>
    <t>Прочие административные расходы</t>
  </si>
  <si>
    <t>Оргьехника и  обслуживание офисного оборудования</t>
  </si>
  <si>
    <t>3.7.3</t>
  </si>
  <si>
    <t>Аренда земельных участков</t>
  </si>
  <si>
    <t>Экономически необоснованные расходы, понесённые за отчётные периоды:</t>
  </si>
  <si>
    <t>Объём сточных вод</t>
  </si>
  <si>
    <t>кап.ремонт за счет амортизации</t>
  </si>
  <si>
    <t>Расчёт тарифа на водоснабжение методом индексации</t>
  </si>
  <si>
    <t>№ п/п</t>
  </si>
  <si>
    <t>Наименование</t>
  </si>
  <si>
    <t>Единица измерений</t>
  </si>
  <si>
    <t>Дельта</t>
  </si>
  <si>
    <t>Необходимая валовая выручка</t>
  </si>
  <si>
    <t>тыс.руб</t>
  </si>
  <si>
    <t>Текущие расходы</t>
  </si>
  <si>
    <t>текущий ремонт</t>
  </si>
  <si>
    <t>капитальный ремонт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</si>
  <si>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</si>
  <si>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</si>
  <si>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</si>
  <si>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</si>
  <si>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</si>
  <si>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</si>
  <si>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</si>
  <si>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уд.расход</t>
  </si>
  <si>
    <t>тариф</t>
  </si>
  <si>
    <t>объем</t>
  </si>
  <si>
    <t>индекс роста тарифа э/э</t>
  </si>
  <si>
    <t>1.1.3.1</t>
  </si>
  <si>
    <t>возврат займов и кредитов</t>
  </si>
  <si>
    <t>1.1.3.2</t>
  </si>
  <si>
    <t>проценты по займам и кредитам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</si>
  <si>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</si>
  <si>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</si>
  <si>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</si>
  <si>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</si>
  <si>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84 Методики</t>
  </si>
  <si>
    <t>1.3.3</t>
  </si>
  <si>
    <t>Норматив прибыли</t>
  </si>
  <si>
    <t xml:space="preserve">Отклонение фактически достигнутого объёма поданной воды </t>
  </si>
  <si>
    <t xml:space="preserve">Отклонение фактических значений индекса потребительских цен и других индексов, предусмотренных прогнозом социально-экономического развития РФ </t>
  </si>
  <si>
    <t>2.4</t>
  </si>
  <si>
    <t>Ввод объектов системы водоснабжения в эксплуатацию и изменение утверждённой инвестиционной программы</t>
  </si>
  <si>
    <t>2.5</t>
  </si>
  <si>
    <t>Отклонение фактического значения целевых показателей деятельности организаций</t>
  </si>
  <si>
    <t>2.6</t>
  </si>
  <si>
    <t>Недополученные/илишне полученные доходы- расходы</t>
  </si>
  <si>
    <t>Сглаживание</t>
  </si>
  <si>
    <t>3</t>
  </si>
  <si>
    <t>Итого НВВ для расчёта тарифа</t>
  </si>
  <si>
    <t>тыс. руб</t>
  </si>
  <si>
    <t>4</t>
  </si>
  <si>
    <t xml:space="preserve">Тариф на водоснабжение </t>
  </si>
  <si>
    <t>руб/куб.м</t>
  </si>
  <si>
    <t>5</t>
  </si>
  <si>
    <t xml:space="preserve">Объём водоснабжения </t>
  </si>
  <si>
    <t>тыс. куб.м.</t>
  </si>
  <si>
    <t>Объём водоснабжения (СГРЦиТ)</t>
  </si>
  <si>
    <t>Транспортировка</t>
  </si>
  <si>
    <t>Тариф на водоснабжение  (СГРЦиТ)</t>
  </si>
  <si>
    <t>С НДС</t>
  </si>
  <si>
    <t>Водоснабжение</t>
  </si>
  <si>
    <t>ед. измер.</t>
  </si>
  <si>
    <t>2018 год</t>
  </si>
  <si>
    <t>2019 год</t>
  </si>
  <si>
    <t>2020 год</t>
  </si>
  <si>
    <t>2021 год</t>
  </si>
  <si>
    <t>2022 год</t>
  </si>
  <si>
    <t>2023 год</t>
  </si>
  <si>
    <t>с 01 января по 30 июня</t>
  </si>
  <si>
    <t>с 01 июля по 31 декабря</t>
  </si>
  <si>
    <t>год</t>
  </si>
  <si>
    <t>Объём</t>
  </si>
  <si>
    <t>тыс. куб.м</t>
  </si>
  <si>
    <t>НВВ</t>
  </si>
  <si>
    <t>тыс. руб.</t>
  </si>
  <si>
    <t>Рост тарифа, %</t>
  </si>
  <si>
    <t>Расчёт тарифа на водоотведение методом индексации</t>
  </si>
  <si>
    <t>2.7</t>
  </si>
  <si>
    <t>Экономически необоснованые расходы, снятые с тарифа</t>
  </si>
  <si>
    <t>Тариф на водоотведение</t>
  </si>
  <si>
    <t>Объём водоотведения</t>
  </si>
  <si>
    <t>Объём водоотведения (СГРЦиТ)</t>
  </si>
  <si>
    <t>с НДС</t>
  </si>
  <si>
    <t>1.7.2</t>
  </si>
  <si>
    <t>Контроль качества воды</t>
  </si>
  <si>
    <t>12.1</t>
  </si>
  <si>
    <t>12.2</t>
  </si>
  <si>
    <t>12.3</t>
  </si>
  <si>
    <t>12.4</t>
  </si>
  <si>
    <t>12.4.1</t>
  </si>
  <si>
    <t>12.4.2</t>
  </si>
  <si>
    <t>12.4.2.1</t>
  </si>
  <si>
    <t>12.6</t>
  </si>
  <si>
    <t>на забор и подъём воды</t>
  </si>
  <si>
    <t>на водоподготовку</t>
  </si>
  <si>
    <t>на транспортировку воды</t>
  </si>
  <si>
    <t>Э.1.1.1</t>
  </si>
  <si>
    <t>Э.1.3.1</t>
  </si>
  <si>
    <t>Э.1.4.1</t>
  </si>
  <si>
    <t>Э.1.5.1</t>
  </si>
  <si>
    <t>Э.1.6.1</t>
  </si>
  <si>
    <t>Э.1.7.1</t>
  </si>
  <si>
    <t>Э.1.8.1</t>
  </si>
  <si>
    <t>Э.1.9.1</t>
  </si>
  <si>
    <t>ОАО "Автотехсервис"</t>
  </si>
  <si>
    <t>ОАО РАВЗ 69</t>
  </si>
  <si>
    <t>ООО Прибалтийский судостроительный завод</t>
  </si>
  <si>
    <t>Факт по данным предприятия</t>
  </si>
  <si>
    <t>11а</t>
  </si>
  <si>
    <t>Административные расходы 26, и частич 23 сч</t>
  </si>
  <si>
    <t>Ед. изм.</t>
  </si>
  <si>
    <t>Истекший год (i-1)</t>
  </si>
  <si>
    <t>Предусмотрено в тарифе 2015 год</t>
  </si>
  <si>
    <t>Предусмотрено в тарифе 2016 год</t>
  </si>
  <si>
    <t>Предусмотрено в тарифе 2017 год</t>
  </si>
  <si>
    <t>Отчетный период  2017 год</t>
  </si>
  <si>
    <t>Ожидаемый период 2018 год</t>
  </si>
  <si>
    <t>план</t>
  </si>
  <si>
    <t>факт</t>
  </si>
  <si>
    <t>предусмотрено в тарифе</t>
  </si>
  <si>
    <t>распределение ВС</t>
  </si>
  <si>
    <t>распределение ВО</t>
  </si>
  <si>
    <t>Факт МП КХ "Водоканал"</t>
  </si>
  <si>
    <t>фактическ. расходы всего</t>
  </si>
  <si>
    <t>фактич. расходы, включ в тариф</t>
  </si>
  <si>
    <t>Услуги связи и интернет 23 и 26 сч</t>
  </si>
  <si>
    <t>Юридические услуги (госпошлина)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</si>
  <si>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</si>
  <si>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</si>
  <si>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</si>
  <si>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 ( обслужю и лиценз програм. Обеспеч)</t>
  </si>
  <si>
    <t>1.9</t>
  </si>
  <si>
    <t>Расходы на оплату труда и отчисления на социальные нужды административно-уравленческого персонала, в том числе налоги и сборы</t>
  </si>
  <si>
    <r>
      <t xml:space="preserve">Расходы на оплату труда административно-управленческого персонала </t>
    </r>
    <r>
      <rPr>
        <b/>
        <sz val="7"/>
        <color rgb="FF000080"/>
        <rFont val="Tahoma"/>
        <family val="2"/>
        <charset val="204"/>
      </rPr>
      <t>( здесь стоит общая сумма,  так как в АУП 88 человек подробная расшифровка за 2017 год в сводной ведомости)</t>
    </r>
  </si>
  <si>
    <t>Всего по АУП</t>
  </si>
  <si>
    <t xml:space="preserve">Численность персонала </t>
  </si>
  <si>
    <t>чел.</t>
  </si>
  <si>
    <t>Средняя заработная плата</t>
  </si>
  <si>
    <t>руб.</t>
  </si>
  <si>
    <t>Специальность 2</t>
  </si>
  <si>
    <t>Специальность 3</t>
  </si>
  <si>
    <t>Специальность 4</t>
  </si>
  <si>
    <t>Специальность 5</t>
  </si>
  <si>
    <t>Специальность 6</t>
  </si>
  <si>
    <t>Страховые взносы</t>
  </si>
  <si>
    <t>численность персонала</t>
  </si>
  <si>
    <t>6</t>
  </si>
  <si>
    <t>7</t>
  </si>
  <si>
    <t>8.1</t>
  </si>
  <si>
    <t>Расходы на амортизацинепроизводственных активов</t>
  </si>
  <si>
    <t>8.2</t>
  </si>
  <si>
    <t>Расходы по охране объектов и территорий ( 20,23,26 сч,общих для ВС и ВО) кроме  отнесенных на ВС и ВО прямым способом по объектам</t>
  </si>
  <si>
    <t>8.3</t>
  </si>
  <si>
    <t>Расходы на материалы, ГСМ, запчасти и пр.</t>
  </si>
  <si>
    <t>Итого</t>
  </si>
  <si>
    <t>по выручке</t>
  </si>
  <si>
    <t>ЕСЛИ</t>
  </si>
  <si>
    <t>Холодная вода</t>
  </si>
  <si>
    <t>Водоотведение</t>
  </si>
  <si>
    <t>Факт 2018 (данные предприятия)</t>
  </si>
  <si>
    <t>Текущий  период 2019 год</t>
  </si>
  <si>
    <t>Ожидаемый год</t>
  </si>
  <si>
    <t>Ожидаемые 12 месяцев 2019</t>
  </si>
  <si>
    <t>Распределение в бух. учете  20 сч.</t>
  </si>
  <si>
    <t>Факт по данным организации 23 сч  распределение по выручке</t>
  </si>
  <si>
    <t>ВС</t>
  </si>
  <si>
    <t>ВО</t>
  </si>
  <si>
    <t xml:space="preserve">Прочие </t>
  </si>
  <si>
    <t>Электроэнергия 26 сч</t>
  </si>
  <si>
    <t>Ремонт и техн. обслуживание</t>
  </si>
  <si>
    <t>1.3.4</t>
  </si>
  <si>
    <t>Капитальный ремонт</t>
  </si>
  <si>
    <t>1.3.5</t>
  </si>
  <si>
    <t>Газ в адм. здании</t>
  </si>
  <si>
    <t>1.3.6</t>
  </si>
  <si>
    <t>Теплоэнергия</t>
  </si>
  <si>
    <t>1.3.7</t>
  </si>
  <si>
    <t>Уголь</t>
  </si>
  <si>
    <t>1.3.8</t>
  </si>
  <si>
    <t>Расходы на уборку и вывоз мусора23,26 сч</t>
  </si>
  <si>
    <t>1.3.9</t>
  </si>
  <si>
    <t>Страхование автотранспорта</t>
  </si>
  <si>
    <t>1.3.10</t>
  </si>
  <si>
    <t>Ремонт и обслуживание автотрансопрта, запчасти</t>
  </si>
  <si>
    <t>1.3.11</t>
  </si>
  <si>
    <t>Услуги стороннего автотранспорта</t>
  </si>
  <si>
    <t>1.3.12</t>
  </si>
  <si>
    <t>ТО автотрансопрта</t>
  </si>
  <si>
    <t>1.3.13</t>
  </si>
  <si>
    <t>Приобретение маршрутных карт</t>
  </si>
  <si>
    <t>1.3.14</t>
  </si>
  <si>
    <t>Услуги автомойки</t>
  </si>
  <si>
    <t>1.3.15</t>
  </si>
  <si>
    <t>Зап. части и расходные материалы для оргтехники</t>
  </si>
  <si>
    <t>1.3.16</t>
  </si>
  <si>
    <t>Услуги стационарной телефонной связи в подразделениях ( все в адм. Расходах)</t>
  </si>
  <si>
    <t>1.3.17</t>
  </si>
  <si>
    <t>Обслуживание системы спутникового контроля</t>
  </si>
  <si>
    <t>1.3.18</t>
  </si>
  <si>
    <t>Поверка средств измерения</t>
  </si>
  <si>
    <t>1.3.19</t>
  </si>
  <si>
    <t>Расходные материалы и реактивы</t>
  </si>
  <si>
    <t>1.3.20</t>
  </si>
  <si>
    <t>1.3.21</t>
  </si>
  <si>
    <t>Услуги сторонних организаций по профосмотру</t>
  </si>
  <si>
    <t>1.3.22</t>
  </si>
  <si>
    <t>1.3.23</t>
  </si>
  <si>
    <t>Услуги по горячему питанию</t>
  </si>
  <si>
    <t>1.3.24</t>
  </si>
  <si>
    <t>Обучение, семинары</t>
  </si>
  <si>
    <t>1.3.25</t>
  </si>
  <si>
    <t>Внутреннее водопотребление</t>
  </si>
  <si>
    <t>1.3.26</t>
  </si>
  <si>
    <t>Аренда земли</t>
  </si>
  <si>
    <t>1.3.27</t>
  </si>
  <si>
    <t>Плата за негативное воздействие на окр. среду</t>
  </si>
  <si>
    <t>1.3.28</t>
  </si>
  <si>
    <t>Поверка приборов и средств измерений</t>
  </si>
  <si>
    <t>1.3.29</t>
  </si>
  <si>
    <t>ТО, поверка, зарядка огнетушителей</t>
  </si>
  <si>
    <t>1.3.30</t>
  </si>
  <si>
    <t>1.3.31</t>
  </si>
  <si>
    <t>Страхование  недвижимости (опасных объектов)</t>
  </si>
  <si>
    <t>1.3.32</t>
  </si>
  <si>
    <t>Оплата услуг сторонних организаций по экологии</t>
  </si>
  <si>
    <t>1.3.33</t>
  </si>
  <si>
    <t>Посыпка дорожного покрытия</t>
  </si>
  <si>
    <t>1.3.34</t>
  </si>
  <si>
    <t>Материалы на хоз. нужды</t>
  </si>
  <si>
    <t>1.3.35</t>
  </si>
  <si>
    <t>Транспортные расходы РЖД</t>
  </si>
  <si>
    <t>1.3.36</t>
  </si>
  <si>
    <t>Командировыочные расходы</t>
  </si>
  <si>
    <t>1.3.37</t>
  </si>
  <si>
    <t>Канцелярские товары</t>
  </si>
  <si>
    <t>1.3.38</t>
  </si>
  <si>
    <t>Расходы на медикаменты</t>
  </si>
  <si>
    <t>1.3.39</t>
  </si>
  <si>
    <t>Дератизация, дезинфекция</t>
  </si>
  <si>
    <t>1.3.40</t>
  </si>
  <si>
    <t>Техническое обслуживание лифта</t>
  </si>
  <si>
    <t>1.3.41</t>
  </si>
  <si>
    <t>Обслуживание газового оборудования</t>
  </si>
  <si>
    <t>1.3.42</t>
  </si>
  <si>
    <t>Ремонт и обсл. офис. оборуд. в подр.</t>
  </si>
  <si>
    <t xml:space="preserve">Расходы на охрану режимных  объектов ВОДОСНАБЖЕНИЯ, не вкл. в административные расходы </t>
  </si>
  <si>
    <t>пропорционально выручке</t>
  </si>
  <si>
    <t>Распределение пропорционально ПРЯМЫМ РАСХОДАМ</t>
  </si>
  <si>
    <t>Факт 2018 (данные организации)</t>
  </si>
  <si>
    <t>Аренда причала</t>
  </si>
  <si>
    <t>1.3.43</t>
  </si>
  <si>
    <t>Аттестация рабочих мест</t>
  </si>
  <si>
    <t>Обслуживание общего имущества на участах</t>
  </si>
  <si>
    <t>Членские взносы</t>
  </si>
  <si>
    <t>Расходы по оформл. Документов</t>
  </si>
  <si>
    <t>Отчет об использовании</t>
  </si>
  <si>
    <t>фонда социального развития и материального стимулирования за 2018 год</t>
  </si>
  <si>
    <t>по сост. на 20.12.18</t>
  </si>
  <si>
    <t>Наименование показателей</t>
  </si>
  <si>
    <t>Сумма, утвержденная на 2018 год</t>
  </si>
  <si>
    <t>Факт 6 месяцев 2018 года</t>
  </si>
  <si>
    <t>Ожид. 12 месяцев 2018 года</t>
  </si>
  <si>
    <t>Факт 12 месяцев 2018 года</t>
  </si>
  <si>
    <t xml:space="preserve">ФАКТ 2018 </t>
  </si>
  <si>
    <t>I. Источники образования фонда</t>
  </si>
  <si>
    <t>Остаток средств фонда на 01.01.2018</t>
  </si>
  <si>
    <t>Отчисления в фонд  в 2018 году</t>
  </si>
  <si>
    <t>Фонд всего, в т.ч.</t>
  </si>
  <si>
    <t xml:space="preserve"> расходы 2018 года</t>
  </si>
  <si>
    <t xml:space="preserve"> резерв на 1 квартал 2019 года</t>
  </si>
  <si>
    <t xml:space="preserve"> II. Направления использования средств фонда*</t>
  </si>
  <si>
    <t>1.</t>
  </si>
  <si>
    <t>Материальная помощь</t>
  </si>
  <si>
    <t>в связи с рождением ребенка -5 МРОТ</t>
  </si>
  <si>
    <t>в связи с призывом на срочную военную службу, единовременно 3000,00 рублей</t>
  </si>
  <si>
    <t>в случае смерти работника единовременно 10 000,00 рублей, в случае сметри близких родственников единовременно 5000 рублей</t>
  </si>
  <si>
    <t>в случае смерти ветерана предприятия, проработавшего на предприятии более 30 лет, или ветерана Великой отечественной войны единовременно  5000,00 рублей</t>
  </si>
  <si>
    <t>родителям, в одиночку воспитывающим детей до 16 лет, один раз в год 1000,00 рублей</t>
  </si>
  <si>
    <r>
      <t xml:space="preserve">работникам, впервые вступившим в брак, единовременно 3000,00 рублей           </t>
    </r>
    <r>
      <rPr>
        <i/>
        <sz val="9"/>
        <color rgb="FF000000"/>
        <rFont val="Times New Roman"/>
        <family val="1"/>
        <charset val="204"/>
      </rPr>
      <t xml:space="preserve">   (если оба супруга работают на одном предприятии, материальная помощь предоставляется каждому)</t>
    </r>
  </si>
  <si>
    <t>родителям детей-инвалидов один раз в год – в размере 1000,00 рублей</t>
  </si>
  <si>
    <t>материальная помощь к отпуску – один раз в год в размере должностного оклада или среднемесячной тарифной ставки</t>
  </si>
  <si>
    <t>в исключительных случаях ( угроза жизни) работникам предприятия, не более 10000,00 рублей</t>
  </si>
  <si>
    <t>в исключительных случаях ( угроза жизни) бывшим работникам предприятия, не более 10000,00 рублей</t>
  </si>
  <si>
    <t>2.</t>
  </si>
  <si>
    <t>Единовременное поощрение.</t>
  </si>
  <si>
    <t>при достижении 50,55,60 лет – в размере  500 рублей за каждый отработанный год, но не более 10000,00</t>
  </si>
  <si>
    <t>за многолетнюю безупречную работу, при достижении пенсионного возраста, впервые уволившимся в связи с выходом на трудовую пенсию по старости  или трудовую пенсию по инвалидности - в размере до 3-х среднемесячных размеров оплаты труда</t>
  </si>
  <si>
    <t>в честь Дня Победы бывшим работникам МП КХ «Водоканал»- участникам Великой Отечественной войны – в размере 3500,00 рублей</t>
  </si>
  <si>
    <r>
      <t xml:space="preserve">в </t>
    </r>
    <r>
      <rPr>
        <sz val="12"/>
        <color rgb="FF000000"/>
        <rFont val="Times New Roman"/>
        <family val="1"/>
        <charset val="204"/>
      </rPr>
      <t>честь Дня войнов интернационалистов- участникам боевых действий – в размере 3500,00 рублей</t>
    </r>
  </si>
  <si>
    <t>ветеранам производства, проработавшим на предприятии 20 лет- в размере 0,5 оклада</t>
  </si>
  <si>
    <t>бывшим работникам предприятия  ко Дню пожилого человека -  в размере 1500,00 рублей</t>
  </si>
  <si>
    <t>к профессиональному празднику-Дню работников ЖКХ- в размере , определяемом руководством предприятия, исходя из финансовых возможностей</t>
  </si>
  <si>
    <t>за активное участие в спортивных мероприятиях</t>
  </si>
  <si>
    <t>за победу и участие в различных конкурсах</t>
  </si>
  <si>
    <t>к юбилейным датам  предприятия</t>
  </si>
  <si>
    <t>за выполнение задания непроизводственного характера сверх утвержденного фонда оплаты труда</t>
  </si>
  <si>
    <t>3.</t>
  </si>
  <si>
    <t>Путевки для сотрудников на лечение и отдых</t>
  </si>
  <si>
    <t>4.</t>
  </si>
  <si>
    <t>Приобретение путевок в детские лагеря</t>
  </si>
  <si>
    <t xml:space="preserve">5. </t>
  </si>
  <si>
    <t>Занятия в спортивных кружках, секциях</t>
  </si>
  <si>
    <t>6.</t>
  </si>
  <si>
    <t>Приобретение подарков для работников (бывших работников) предприятия и их детей</t>
  </si>
  <si>
    <t>7.</t>
  </si>
  <si>
    <t>Проведение праздничных мероприятий  и участие в таких мероприятиях</t>
  </si>
  <si>
    <t>8.</t>
  </si>
  <si>
    <t>Приобретение сувенирной продукции.</t>
  </si>
  <si>
    <t>9.</t>
  </si>
  <si>
    <t>Оказание благотворительной помощи, в т. ч.</t>
  </si>
  <si>
    <t>10.</t>
  </si>
  <si>
    <t>Иные аналогичные расходы, проводимые в пользу работников ( бывших работников) предприятия</t>
  </si>
  <si>
    <t>Всего расходов</t>
  </si>
  <si>
    <t>Остаток средств фонда  с учетом резерва на 1 полугодие 2019 года, в т.ч. справочно</t>
  </si>
  <si>
    <t>остаток фонда 2018 года, в т.ч</t>
  </si>
  <si>
    <t>резерв 1 квартала 2019</t>
  </si>
  <si>
    <t>Заместитель директора по  ЭФиК</t>
  </si>
  <si>
    <t>С.В.  Левченко</t>
  </si>
  <si>
    <t>Директор</t>
  </si>
  <si>
    <t xml:space="preserve">         В.В.  Дегтярёв</t>
  </si>
  <si>
    <t>Водоснабжение ( 47,7%)</t>
  </si>
  <si>
    <t>Водоотведение ( 34,76%)</t>
  </si>
  <si>
    <t>Земельный налог (Аренда на землю)</t>
  </si>
  <si>
    <t>Плата за НВОС в 2018 году (негативноевоздействие на среду)</t>
  </si>
  <si>
    <t>Платежи за выбросы</t>
  </si>
  <si>
    <t>Платежи за размещение отходов</t>
  </si>
  <si>
    <t>ИТОГО</t>
  </si>
  <si>
    <t>Распределение  по видам деятельности</t>
  </si>
  <si>
    <t>(Гвардейский р-он)</t>
  </si>
  <si>
    <t>(Калининград)</t>
  </si>
  <si>
    <t>ПДК</t>
  </si>
  <si>
    <t>Подкл</t>
  </si>
  <si>
    <t>Авансовые платежи (1-3 кварталы)</t>
  </si>
  <si>
    <t>Платежи в  пределах норматива</t>
  </si>
  <si>
    <t>Платежи за сверхнормативный выброс</t>
  </si>
  <si>
    <t>Внесено за 2018 год</t>
  </si>
  <si>
    <t>1 443,97</t>
  </si>
  <si>
    <t>5 206,5</t>
  </si>
  <si>
    <t>3 730,2</t>
  </si>
  <si>
    <t>7 205,79</t>
  </si>
  <si>
    <t>131 178,84</t>
  </si>
  <si>
    <t>Плата за НВОС по Декларации</t>
  </si>
  <si>
    <t>8 936,7</t>
  </si>
  <si>
    <t>72 338,25</t>
  </si>
  <si>
    <t>Сумма возврата</t>
  </si>
  <si>
    <t>58 840,59</t>
  </si>
  <si>
    <t>Аренда причала ( обследование озер), аренда балллонов</t>
  </si>
  <si>
    <t>Инвентарь, материалы на тек. реомнт</t>
  </si>
  <si>
    <t>Прочие затртаы по охране труда</t>
  </si>
  <si>
    <t>Прочие мероприятия по ГО и ЧС сч.26, медикаменты</t>
  </si>
  <si>
    <t>дельта ( недобор)</t>
  </si>
  <si>
    <t xml:space="preserve">дельта </t>
  </si>
  <si>
    <t>Объемы Службы, тыс. куб. м</t>
  </si>
  <si>
    <t>Объемы Водоканала, тыс. куб.м</t>
  </si>
  <si>
    <t>Тариф на 2018 год ( средний), без НДС</t>
  </si>
  <si>
    <t>Выпадающий доход за 2018, тыс. руб.</t>
  </si>
  <si>
    <t>Приложение 2.1.1</t>
  </si>
  <si>
    <t>к Методическим указаниям</t>
  </si>
  <si>
    <t>утвержденным приказом ФСТ России</t>
  </si>
  <si>
    <t>от 27.12.3013 № 1746-э</t>
  </si>
  <si>
    <t>1. Производственные расходы водоснабжения</t>
  </si>
  <si>
    <t>1.1 Расходы на сырье и материалы</t>
  </si>
  <si>
    <t>Реагенты</t>
  </si>
  <si>
    <t>Хлор (ЮВС-2, ВНС Моск)</t>
  </si>
  <si>
    <t>1.1.2.</t>
  </si>
  <si>
    <t>тн</t>
  </si>
  <si>
    <t>Сульфа алюминия ( ЮВС-2)</t>
  </si>
  <si>
    <t>1.2.2.</t>
  </si>
  <si>
    <t>РАХ 18 ( полиоксихлорид алюминия)(ЦВС, ЮВС-2)</t>
  </si>
  <si>
    <t>1.3.2.</t>
  </si>
  <si>
    <t>Флокулянт суперфлок</t>
  </si>
  <si>
    <t xml:space="preserve"> (ЮВС-2 ВЕС Чкаловск)</t>
  </si>
  <si>
    <t>1.4.2.</t>
  </si>
  <si>
    <t>ГХА (ЦВС,ЮВС 2)</t>
  </si>
  <si>
    <t>1.5.1</t>
  </si>
  <si>
    <t>1.5.2.</t>
  </si>
  <si>
    <t>Флокулянт феннпол ( ЮВС 2)</t>
  </si>
  <si>
    <t>1.6.1</t>
  </si>
  <si>
    <t>1.6.2.</t>
  </si>
  <si>
    <t>Перманганат калия ( ВНС ,Чкаловск, ЮВС2)</t>
  </si>
  <si>
    <t>Медный купорос</t>
  </si>
  <si>
    <t>1.8.2.</t>
  </si>
  <si>
    <t>Гипохлорид натрия (ЮВС-2, ВНС  Чкаловск</t>
  </si>
  <si>
    <t>1.9.1</t>
  </si>
  <si>
    <t>1.9.2.</t>
  </si>
  <si>
    <t>1.10</t>
  </si>
  <si>
    <t>Соль пищевая</t>
  </si>
  <si>
    <t>1.10.1</t>
  </si>
  <si>
    <t>1.10.2.</t>
  </si>
  <si>
    <t>1.11</t>
  </si>
  <si>
    <t>Кислота соляная</t>
  </si>
  <si>
    <t>1.11.1</t>
  </si>
  <si>
    <t>1.11.2.</t>
  </si>
  <si>
    <t>РАХ марки Эпоха ( ЮВС_")</t>
  </si>
  <si>
    <t>Итого затраты на реагенты:</t>
  </si>
  <si>
    <t>Расходы на ГСМ, превышающие 5% общей величины расходов на сырье и материалы</t>
  </si>
  <si>
    <t>2.1.</t>
  </si>
  <si>
    <t>Диз.  топливо для а/м</t>
  </si>
  <si>
    <t xml:space="preserve">Цена </t>
  </si>
  <si>
    <t>руб./л</t>
  </si>
  <si>
    <t xml:space="preserve">Объём </t>
  </si>
  <si>
    <t>л.</t>
  </si>
  <si>
    <t>Бензин АИ-92</t>
  </si>
  <si>
    <t>Бензин АИ-95</t>
  </si>
  <si>
    <t>Итого затраты на ГСМ:</t>
  </si>
  <si>
    <t>Расходы на материалы и малоценные основные средства, превышающие 5% общей величины расходов на сырье и материалы</t>
  </si>
  <si>
    <t>Ацитилен</t>
  </si>
  <si>
    <t>Кабель ВВГ 4 х 120</t>
  </si>
  <si>
    <t>Итого затраты на материалы и малоценные основные средства:</t>
  </si>
  <si>
    <t>5.</t>
  </si>
  <si>
    <t>Итого затраты на прочие сырье и материалы: ( материалы , материалы на хоз. нужды, производственный инвентарь, шины, запчасти) прямым методом 20 сч., пропорционально выручке 23 сч.</t>
  </si>
  <si>
    <t>Всего сырье и материалы</t>
  </si>
  <si>
    <t>Приложение 2.1.2</t>
  </si>
  <si>
    <t>1.2 Расходы на энергетические ресурсы и холодную воду</t>
  </si>
  <si>
    <t>1.2.1  Расходы на приобретение электрической энергии</t>
  </si>
  <si>
    <t>Всего затраты на электроэнергию</t>
  </si>
  <si>
    <t>Приложение 2.1.3</t>
  </si>
  <si>
    <t>1.2.2 Расходы на приобретение тепловой энергии</t>
  </si>
  <si>
    <t>Объем покупной энергии</t>
  </si>
  <si>
    <t>тыс.Гкал</t>
  </si>
  <si>
    <t>Ставка за энергию</t>
  </si>
  <si>
    <t>руб./Гкал</t>
  </si>
  <si>
    <t>Затраты на покупку энергии</t>
  </si>
  <si>
    <t>Ставка за мощность</t>
  </si>
  <si>
    <t>тыс.                  руб./Гкал/ч</t>
  </si>
  <si>
    <t>Гкал/ч</t>
  </si>
  <si>
    <t>Затраты на покупку мощности</t>
  </si>
  <si>
    <t>Всего затраты на теплоэнергию</t>
  </si>
  <si>
    <t>Приложение 2.1.4</t>
  </si>
  <si>
    <t>1.2.3 Расходы на приобретение теплоносителя</t>
  </si>
  <si>
    <t>Поставщик А</t>
  </si>
  <si>
    <t>Объем теплоносителя</t>
  </si>
  <si>
    <t>Цена теплоносителя</t>
  </si>
  <si>
    <t>Затраты на теплоноситель поставщика А</t>
  </si>
  <si>
    <t>Поставщик Б</t>
  </si>
  <si>
    <t>Поставщик Д</t>
  </si>
  <si>
    <t>Всего затраты на приобретение теплоносителя</t>
  </si>
  <si>
    <t>Приложение 2.1.5</t>
  </si>
  <si>
    <t>1.2.4 Расходы на приобретение топлива</t>
  </si>
  <si>
    <t>Количество (объем) топлива</t>
  </si>
  <si>
    <t>Цена топлива</t>
  </si>
  <si>
    <t>руб./тн</t>
  </si>
  <si>
    <t>Газ</t>
  </si>
  <si>
    <t>куб.м.</t>
  </si>
  <si>
    <t>руб./куб.м.</t>
  </si>
  <si>
    <t>Затраты на топливо газ</t>
  </si>
  <si>
    <t>Диз топливо для ГВС</t>
  </si>
  <si>
    <t>тыс. л</t>
  </si>
  <si>
    <t>Затраты на топливо мазут</t>
  </si>
  <si>
    <t>Всего затраты на приобретение топлива</t>
  </si>
  <si>
    <t>Приложение 2.1.6</t>
  </si>
  <si>
    <t>1.2.5 Расходы на приобретение холодной воды</t>
  </si>
  <si>
    <t>ООО "Дельта-Е"</t>
  </si>
  <si>
    <t>объем холодной воды</t>
  </si>
  <si>
    <t>Тариф на холодную воду</t>
  </si>
  <si>
    <t>Затраты на холодную воду</t>
  </si>
  <si>
    <t>Всего затраты на приобретение холодной воды</t>
  </si>
  <si>
    <t>1.3. 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</si>
  <si>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ОАО "Славянка"</t>
  </si>
  <si>
    <t>Транспортирование воды</t>
  </si>
  <si>
    <t>Тариф на транспортирование воды</t>
  </si>
  <si>
    <t>Затраты на транспортирование водыпо  поставщику Славянка</t>
  </si>
  <si>
    <t>Итого затраты на транспортирование по всем поставщикам</t>
  </si>
  <si>
    <t>Очистка воды</t>
  </si>
  <si>
    <t>Тариф на очистку воды</t>
  </si>
  <si>
    <t>Затраты на очистку воды по поставщику А</t>
  </si>
  <si>
    <t>Итого затраты на очистку воды по всем поставщикам</t>
  </si>
  <si>
    <r>
      <rPr>
        <b/>
        <u/>
        <sz val="11"/>
        <color rgb="FFFF0000"/>
        <rFont val="Calibri"/>
        <family val="2"/>
        <charset val="204"/>
        <scheme val="minor"/>
      </rPr>
      <t>п. 1.4</t>
    </r>
    <r>
      <rPr>
        <u/>
        <sz val="11"/>
        <color rgb="FFFF0000"/>
        <rFont val="Calibri"/>
        <family val="2"/>
        <charset val="204"/>
        <scheme val="minor"/>
      </rPr>
      <t xml:space="preserve"> </t>
    </r>
    <r>
      <rPr>
        <i/>
        <u/>
        <sz val="11"/>
        <color rgb="FFFF0000"/>
        <rFont val="Calibri"/>
        <family val="2"/>
        <charset val="204"/>
        <scheme val="minor"/>
      </rPr>
      <t xml:space="preserve">Расходы на оплату труда и отчисления на социальные нужды основного производственного персонала, в том числе налоги и сборы см. вкладку Зар. Плата </t>
    </r>
  </si>
  <si>
    <t>п.1.5 Расходы на уплату процентов по займам и кредитам</t>
  </si>
  <si>
    <t>ВТБ  дог. 10/15 от 21.07.2015</t>
  </si>
  <si>
    <t>Банк Российский капитал дог.90-013</t>
  </si>
  <si>
    <t>Банк Российский капитал дог.90-014</t>
  </si>
  <si>
    <t>Банк Российский капитал дог.17-006</t>
  </si>
  <si>
    <t>Банк Российский капитал контр..0668750-01</t>
  </si>
  <si>
    <t>Всего затраты на уплату % по займам  кредитам</t>
  </si>
  <si>
    <r>
      <t>п.1.6</t>
    </r>
    <r>
      <rPr>
        <u/>
        <sz val="11"/>
        <color rgb="FFFF0000"/>
        <rFont val="Calibri"/>
        <family val="2"/>
        <charset val="204"/>
        <scheme val="minor"/>
      </rPr>
      <t xml:space="preserve"> Цеховые расходы (Общехозяйственные расходы) , см. вкладку "Цеховые расходы"</t>
    </r>
  </si>
  <si>
    <t>1.7. Прочие производственные расходы</t>
  </si>
  <si>
    <t>Расходы на амортизацию автотранспорта</t>
  </si>
  <si>
    <t>Вид автотранспорта</t>
  </si>
  <si>
    <t>Контроль качества воды( анализы, реактивы, услуги стор. организаций по экологии, докуиент ыдля лаборатории)</t>
  </si>
  <si>
    <t>Специальность А</t>
  </si>
  <si>
    <t>Численность персонала</t>
  </si>
  <si>
    <t>4.2</t>
  </si>
  <si>
    <t>Специальность Б</t>
  </si>
  <si>
    <t>4.3</t>
  </si>
  <si>
    <t>4.4</t>
  </si>
  <si>
    <t>Специальность Д</t>
  </si>
  <si>
    <t>4.5</t>
  </si>
  <si>
    <t>4.6</t>
  </si>
  <si>
    <t>4.7</t>
  </si>
  <si>
    <t>4.8</t>
  </si>
  <si>
    <t>4.9</t>
  </si>
  <si>
    <t>4.10</t>
  </si>
  <si>
    <t>Всего затраты на прочие производственные расходы</t>
  </si>
  <si>
    <t>2. Ремонтные расходы</t>
  </si>
  <si>
    <t>Расходы на текущий ремонт централизированных систем водоснабжения и (или) водоотведения либо объектов, входящих в состав таких систем: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</si>
  <si>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</si>
  <si>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за счет статьи "Кап.ремонт"</t>
  </si>
  <si>
    <t>Расходы на оплату труда и отчисления на социальные нужды ремонтного  персонала, в том числе налоги и сборы</t>
  </si>
  <si>
    <t>Всего затраты на ремонт</t>
  </si>
  <si>
    <r>
      <rPr>
        <b/>
        <u/>
        <sz val="11"/>
        <color rgb="FFFF0000"/>
        <rFont val="Calibri"/>
        <family val="2"/>
        <charset val="204"/>
        <scheme val="minor"/>
      </rPr>
      <t>п.3</t>
    </r>
    <r>
      <rPr>
        <u/>
        <sz val="11"/>
        <color rgb="FFFF0000"/>
        <rFont val="Calibri"/>
        <family val="2"/>
        <charset val="204"/>
        <scheme val="minor"/>
      </rPr>
      <t xml:space="preserve"> Административные расходы, см. вкладку "Административные расходы"</t>
    </r>
  </si>
  <si>
    <r>
      <rPr>
        <b/>
        <u/>
        <sz val="11"/>
        <color rgb="FFFF0000"/>
        <rFont val="Calibri"/>
        <family val="2"/>
        <charset val="204"/>
        <scheme val="minor"/>
      </rPr>
      <t>п.3</t>
    </r>
    <r>
      <rPr>
        <u/>
        <sz val="11"/>
        <color rgb="FFFF0000"/>
        <rFont val="Calibri"/>
        <family val="2"/>
        <charset val="204"/>
        <scheme val="minor"/>
      </rPr>
      <t xml:space="preserve"> Сбытовые расходы гарантирующих организаций</t>
    </r>
  </si>
  <si>
    <t>Приложение 2.3</t>
  </si>
  <si>
    <t>5. Амортизация</t>
  </si>
  <si>
    <t>Первоначальная (восстановительная) стоимость на начало периода</t>
  </si>
  <si>
    <t>Здания</t>
  </si>
  <si>
    <t>Сооружения и передаточные устройства</t>
  </si>
  <si>
    <t>Машины и оборудование</t>
  </si>
  <si>
    <t>Транспорт</t>
  </si>
  <si>
    <t>Ввод основных фондов</t>
  </si>
  <si>
    <t>Выбытие основных фондов</t>
  </si>
  <si>
    <t>Первоначальная (восстановительная) стоимость на конец периода</t>
  </si>
  <si>
    <t>Среднегодовая стоимость</t>
  </si>
  <si>
    <t>5.2</t>
  </si>
  <si>
    <t>5.3</t>
  </si>
  <si>
    <t>5.4</t>
  </si>
  <si>
    <t>5.5</t>
  </si>
  <si>
    <t>Средняя норма амортизационных отчислений</t>
  </si>
  <si>
    <t>Сумма амортизационных отчислений</t>
  </si>
  <si>
    <t>-</t>
  </si>
  <si>
    <t>Переоценка на 31.12.ХХ</t>
  </si>
  <si>
    <t>8.4</t>
  </si>
  <si>
    <t>8.5</t>
  </si>
  <si>
    <t>Всего амортизация</t>
  </si>
  <si>
    <t>Сумма амортизации ,   начисленная по 98 сч на тех. помощь, не относим.  на себестоимость</t>
  </si>
  <si>
    <t>Сумма амортизации, отнес. на себестоимость и регулируемую деятельтность ВС ( без учета 98сч) + амортизация по общим объектам</t>
  </si>
  <si>
    <t>6. Расходы на арендную плату, лизинговые платежи, концессионную плату</t>
  </si>
  <si>
    <t>Всего</t>
  </si>
  <si>
    <t>7. Расходы связанные с уплатой налогов и сборов</t>
  </si>
  <si>
    <t>Плата за пользованием водными объектами</t>
  </si>
  <si>
    <t>в пределах установленного лимита</t>
  </si>
  <si>
    <t>сверх установленного лимитп</t>
  </si>
  <si>
    <t>Земельный налог ( аренда земли)</t>
  </si>
  <si>
    <t>1.5.2</t>
  </si>
  <si>
    <t>1.5.3</t>
  </si>
  <si>
    <t>1.5.4</t>
  </si>
  <si>
    <t>Прочие налоги и сборы, за исключением налогов и сборов с фонда оплаты труда, учитываемые в составе производственных, ремонтных и административных расходов</t>
  </si>
  <si>
    <t xml:space="preserve">Водный налог </t>
  </si>
  <si>
    <t>1.6.2</t>
  </si>
  <si>
    <t>1.6.3</t>
  </si>
  <si>
    <t>1.6.4</t>
  </si>
  <si>
    <t>9. Недополученные доходы расходы прошлых периодов</t>
  </si>
  <si>
    <t>Экономически обоснованные расходы, не учтенные органом регулирования тарифов при установлении тарифов на товары (работы, услуги) в прошлом периоде</t>
  </si>
  <si>
    <t>в соответсвии с Приказом 58-01окк/14</t>
  </si>
  <si>
    <t>Недополученные доходы прошлых периодов регулирования</t>
  </si>
  <si>
    <t>по объемам реализации за 2015 год</t>
  </si>
  <si>
    <t>по объемам реализации за 2017 год</t>
  </si>
  <si>
    <t>Расходы связанные с обслуживанием заемных средств и собственных средств, направляемых на покрытие недостатка средств</t>
  </si>
  <si>
    <t xml:space="preserve">Экономически необоснованные доходы периода регулирования 2013 года </t>
  </si>
  <si>
    <t>средства от невыполонения производственной программы  в части расходования средств на текущий ремонт</t>
  </si>
  <si>
    <t>средства от невыполонения производственной программы  в части выполнения мероприятий капитального ремонта объектов водоснабжения</t>
  </si>
  <si>
    <t>Сбытовые расходы</t>
  </si>
  <si>
    <t>1. Производственные расходы водоотведения</t>
  </si>
  <si>
    <t>Гипохлорид натрия</t>
  </si>
  <si>
    <t>тыс.руб./ед.</t>
  </si>
  <si>
    <t>ОЧИСТНЫЕ СООРУЖЕНИЯ П. ЖУКОВКА</t>
  </si>
  <si>
    <t>Флокулянт  суперфлок  С496</t>
  </si>
  <si>
    <t>Флокулянт  суперфлок  С498</t>
  </si>
  <si>
    <t>Опилки древесные</t>
  </si>
  <si>
    <t>Флокулянт Зетаг  8180</t>
  </si>
  <si>
    <t>Итого затраты на реагенты: с очистными</t>
  </si>
  <si>
    <t>по очистным</t>
  </si>
  <si>
    <t>Итого затраты на реагенты без очистных сооружений</t>
  </si>
  <si>
    <t>Диз. Топливо</t>
  </si>
  <si>
    <t>Прочие материалы и малоценны ос</t>
  </si>
  <si>
    <t>Вид материалов и малоценных основных средств  2</t>
  </si>
  <si>
    <t>Итого затраты на прочие сырье и материалы:</t>
  </si>
  <si>
    <t>ИТОГО реаг+ГСМ + матер</t>
  </si>
  <si>
    <t>Очистные п. Жуковка</t>
  </si>
  <si>
    <t>без Очистных п. Жуковка</t>
  </si>
  <si>
    <t>Затраты на топливо</t>
  </si>
  <si>
    <t>Диз. Топливо для ГВС</t>
  </si>
  <si>
    <t>Транспортирование стоков</t>
  </si>
  <si>
    <t>Тариф на транспортирование стоков</t>
  </si>
  <si>
    <t>Затраты на транспортирование стоковпо  поставщику ООО "Автотехсервис"</t>
  </si>
  <si>
    <t>Итого затраты на транспортирование стоков по всем поставщикам</t>
  </si>
  <si>
    <t>ООО ТПК Балтптицепром</t>
  </si>
  <si>
    <t>Очистка стоков</t>
  </si>
  <si>
    <t>Тариф на очистку стоков</t>
  </si>
  <si>
    <t>Затраты на очистку воды по Балтптицепром</t>
  </si>
  <si>
    <t>Затраты на очистку стоков по ОАО РАВЗ 69</t>
  </si>
  <si>
    <t>Затраты на очистку стоков по ООО "Прибалтийский судостроительный завод"</t>
  </si>
  <si>
    <t>Итого затраты на очистку стоков по всем поставщикам</t>
  </si>
  <si>
    <t>Очистка + траспортировка по всем поставщикам</t>
  </si>
  <si>
    <t>Расходы на пуско-наладку очистных   сооружений, в т.ч.</t>
  </si>
  <si>
    <t>ФОТ</t>
  </si>
  <si>
    <t>ЕСН 30%</t>
  </si>
  <si>
    <t>электроэнергия</t>
  </si>
  <si>
    <t>СМР работы по акту</t>
  </si>
  <si>
    <t>реагенты</t>
  </si>
  <si>
    <t>амортизация</t>
  </si>
  <si>
    <t>налог на имущество</t>
  </si>
  <si>
    <t>охрана, пр</t>
  </si>
  <si>
    <t>ИТОГО Расходов на услуги сторонних организаций</t>
  </si>
  <si>
    <t>Банк Российский капитал контракт 0668750-01</t>
  </si>
  <si>
    <t>грузовой по списку</t>
  </si>
  <si>
    <t>Охрана режимных объектов</t>
  </si>
  <si>
    <t>Расходы на содержание очистных сооружений ( реагенты, опилки, материалы, охрана, э/энергия и пр)</t>
  </si>
  <si>
    <t>за счет статьи "Кап. ремонт"</t>
  </si>
  <si>
    <t>в т.ч. Очистные</t>
  </si>
  <si>
    <t>Водный налог и плата за пользованием водными объектами</t>
  </si>
  <si>
    <t>Земельный налог</t>
  </si>
  <si>
    <t>по списку</t>
  </si>
  <si>
    <t>Экономические необоснованные  расходы, снятые с тарифа</t>
  </si>
  <si>
    <t>СН2 Жуковка</t>
  </si>
  <si>
    <t>топливо (Газ, уголь, дизель для ГВС)</t>
  </si>
  <si>
    <t>топливо (ГАЗ, Уголь, дизель для ГВС)</t>
  </si>
  <si>
    <t>теплоноситель</t>
  </si>
  <si>
    <t>в тыс. руб.</t>
  </si>
  <si>
    <t>Показатели</t>
  </si>
  <si>
    <t>сент.2018</t>
  </si>
  <si>
    <t>4 кв. 2018</t>
  </si>
  <si>
    <t>1 кв. 2019</t>
  </si>
  <si>
    <t>2 кв. 2019</t>
  </si>
  <si>
    <t>3 кв. 2019</t>
  </si>
  <si>
    <t>4 кв. 2019</t>
  </si>
  <si>
    <t>1 кв. 2020</t>
  </si>
  <si>
    <t>2 кв. 2020</t>
  </si>
  <si>
    <t>3 кв. 2020</t>
  </si>
  <si>
    <t>4 кв. 2020</t>
  </si>
  <si>
    <t>1 кв. 2021</t>
  </si>
  <si>
    <t>2 кв. 2021</t>
  </si>
  <si>
    <t>3 кв. 2021</t>
  </si>
  <si>
    <t>4 кв. 2021</t>
  </si>
  <si>
    <t>1 кв. 2022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</si>
  <si>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</si>
  <si>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</si>
  <si>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</si>
  <si>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</si>
  <si>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</si>
  <si>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</si>
  <si>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</si>
  <si>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1 кв. 2024</t>
  </si>
  <si>
    <t>2 кв. 2024</t>
  </si>
  <si>
    <t>3 кв. 2024</t>
  </si>
  <si>
    <t>4 кв. 2024</t>
  </si>
  <si>
    <t>I</t>
  </si>
  <si>
    <t>Денежные средства на начало периода (с учетом 635,400 т.р. валюта)</t>
  </si>
  <si>
    <t>2. Поступление денежных средств</t>
  </si>
  <si>
    <t>Поступления от основной деятельности:</t>
  </si>
  <si>
    <t>в т.ч. поступления выручки от реализации (с НДС)</t>
  </si>
  <si>
    <t xml:space="preserve">          авансовые платежи, проч. поступления</t>
  </si>
  <si>
    <t>Поступления от инвестиционной деятельности:</t>
  </si>
  <si>
    <t>в т.ч.  реализация основных средств</t>
  </si>
  <si>
    <t xml:space="preserve">           реализация пакетов акций, долевое</t>
  </si>
  <si>
    <t xml:space="preserve">  Поступления от Государственного казенного учреждения Калининградской области "Региональное управление заказчика капитального строительства" на фиансирование объекта "Стадион Чемпионата мира ФИФА г. Калининград, Солнечный бульвар.."</t>
  </si>
  <si>
    <t>2.2.</t>
  </si>
  <si>
    <t>Поступления от финансовой деятельности:</t>
  </si>
  <si>
    <t>в т.ч.   остаток по кредитной линии Сбербанка</t>
  </si>
  <si>
    <r>
      <t xml:space="preserve">Кредит Промсвязьбанк на </t>
    </r>
    <r>
      <rPr>
        <b/>
        <i/>
        <sz val="8"/>
        <color rgb="FF000099"/>
        <rFont val="Arial"/>
        <family val="2"/>
        <charset val="204"/>
      </rPr>
      <t>110 млн.рублей</t>
    </r>
    <r>
      <rPr>
        <i/>
        <sz val="8"/>
        <color rgb="FF000099"/>
        <rFont val="Arial"/>
        <family val="2"/>
        <charset val="204"/>
      </rPr>
      <t xml:space="preserve"> договор № 1 (Оборотные средства)</t>
    </r>
  </si>
  <si>
    <r>
      <t xml:space="preserve">Кредит Промсвязьбанк на </t>
    </r>
    <r>
      <rPr>
        <b/>
        <i/>
        <sz val="8"/>
        <color rgb="FF000099"/>
        <rFont val="Arial"/>
        <family val="2"/>
        <charset val="204"/>
      </rPr>
      <t>454 млн.рублей</t>
    </r>
    <r>
      <rPr>
        <i/>
        <sz val="8"/>
        <color rgb="FF000099"/>
        <rFont val="Arial"/>
        <family val="2"/>
        <charset val="204"/>
      </rPr>
      <t xml:space="preserve"> договор №2  (Рефинансирование)</t>
    </r>
  </si>
  <si>
    <r>
      <t xml:space="preserve">Кредит банк  Открытие на </t>
    </r>
    <r>
      <rPr>
        <b/>
        <i/>
        <sz val="8"/>
        <color rgb="FF000099"/>
        <rFont val="Arial"/>
        <family val="2"/>
        <charset val="204"/>
      </rPr>
      <t>79,9 млн.рублей</t>
    </r>
    <r>
      <rPr>
        <i/>
        <sz val="8"/>
        <color rgb="FF000099"/>
        <rFont val="Arial"/>
        <family val="2"/>
        <charset val="204"/>
      </rPr>
      <t xml:space="preserve"> ( Оборотные средства)</t>
    </r>
  </si>
  <si>
    <t>II</t>
  </si>
  <si>
    <r>
      <t>ИТОГО поступлений (</t>
    </r>
    <r>
      <rPr>
        <sz val="10"/>
        <color theme="1"/>
        <rFont val="Arial"/>
        <family val="2"/>
        <charset val="204"/>
      </rPr>
      <t>стр.2.1+2.2):</t>
    </r>
  </si>
  <si>
    <t>3. Расход  денежных средств</t>
  </si>
  <si>
    <t>3.1.</t>
  </si>
  <si>
    <t>Расходы по основной деятельности:</t>
  </si>
  <si>
    <t>материальные затраты (с НДС)</t>
  </si>
  <si>
    <t>затраты на оплату труда</t>
  </si>
  <si>
    <t>расчеты с бюджетом (ЕСН, НДС к оплате, налог на имущество, налог на прибыль и др.)</t>
  </si>
  <si>
    <t>прочие затраты</t>
  </si>
  <si>
    <t>3.2.</t>
  </si>
  <si>
    <t>Расходы по инвестиционной деятельности:</t>
  </si>
  <si>
    <t>прочие капитальные вложения (достройка ВВС)</t>
  </si>
  <si>
    <t>прочие расходы</t>
  </si>
  <si>
    <t>3.3.</t>
  </si>
  <si>
    <t>Расходы по финансовой деятельности:</t>
  </si>
  <si>
    <t>Погашение кредита РК на 75 млн Контракт № 0535…..</t>
  </si>
  <si>
    <t>Погашение кредита РК на 79 млн 17-006/КЛ</t>
  </si>
  <si>
    <t>Погашение кредита РК № 90-014/кл-16 от 18.03.2016</t>
  </si>
  <si>
    <t>Погашение кредита РК № 90-13/кл-16 от 18.03.2016</t>
  </si>
  <si>
    <t>Погашение кредита ПСБ 110 млн.рублей</t>
  </si>
  <si>
    <t>Погашение кредита Открытие 79,9 млн.рублей</t>
  </si>
  <si>
    <t>Выплата процентов по кредитам</t>
  </si>
  <si>
    <t>По кредиту ПСБ 110 млн.рублей</t>
  </si>
  <si>
    <t>По кредиту ПСБ 454 млн.рублей</t>
  </si>
  <si>
    <t>По кредиту Открытие 79,9 млн.рублей</t>
  </si>
  <si>
    <t>выплата процентов по кредиту  Авангард на 20 млн ежемесячно под ЗП</t>
  </si>
  <si>
    <t>выплата процентов по кредиту  РК под расходы на ОС</t>
  </si>
  <si>
    <t>III.</t>
  </si>
  <si>
    <r>
      <t xml:space="preserve">ИТОГО расход </t>
    </r>
    <r>
      <rPr>
        <sz val="10"/>
        <color theme="1"/>
        <rFont val="Arial"/>
        <family val="2"/>
        <charset val="204"/>
      </rPr>
      <t>стр.(3.1+3.2+3.3):</t>
    </r>
  </si>
  <si>
    <t>IV.</t>
  </si>
  <si>
    <t>Денежные средства на конец периода  (I+II-III)</t>
  </si>
  <si>
    <t>Заместитель директора по ЭФиК ______________  Левченко С.В.</t>
  </si>
  <si>
    <t>Начальник ФЭО</t>
  </si>
  <si>
    <t>Расчет процентов</t>
  </si>
  <si>
    <t>Остаток задолженности</t>
  </si>
  <si>
    <t>ПСБ 110 млн.рублей</t>
  </si>
  <si>
    <t>ПСБ 454 млн.рублей</t>
  </si>
  <si>
    <t>Открытие 79,9 млн.рублей</t>
  </si>
  <si>
    <t>Проценты</t>
  </si>
  <si>
    <t>нагрузка по процентам</t>
  </si>
  <si>
    <t>ИТОГО проценты</t>
  </si>
  <si>
    <t>План движения денежных средств  МП КХ "Водоканал" на период действия кредитного договора  (2018-2024 годы)</t>
  </si>
  <si>
    <t>4 кв.18</t>
  </si>
  <si>
    <t>CFO</t>
  </si>
  <si>
    <t>Поступления</t>
  </si>
  <si>
    <t>Расходы</t>
  </si>
  <si>
    <t>CFF</t>
  </si>
  <si>
    <t>Привлечение кредитов</t>
  </si>
  <si>
    <t>Погашение кредитов</t>
  </si>
  <si>
    <t>Погашение %</t>
  </si>
  <si>
    <t>CFI</t>
  </si>
  <si>
    <t>Поступения субсидий</t>
  </si>
  <si>
    <t>Строительство ВВС</t>
  </si>
  <si>
    <t>CAPEX</t>
  </si>
  <si>
    <t>Д/С на начало</t>
  </si>
  <si>
    <t>Оборот</t>
  </si>
  <si>
    <t>Д/С на конец</t>
  </si>
  <si>
    <t>DSCR</t>
  </si>
  <si>
    <t>DSCR c учетом остатка гранта 635,4 млн.руб.</t>
  </si>
  <si>
    <t>доля в%</t>
  </si>
  <si>
    <t>Распределение по видам деятельности</t>
  </si>
  <si>
    <t>Подключение</t>
  </si>
  <si>
    <t>Начальник ФЭО                                               Шумская Ж.В.</t>
  </si>
  <si>
    <t>Стоимость основных средств МП КХ "Водоканал" за 2018 год и расчет налога на имущество.</t>
  </si>
  <si>
    <t>Вид деятельности</t>
  </si>
  <si>
    <t>ОС водоснабжение</t>
  </si>
  <si>
    <t>ОС водоотведение</t>
  </si>
  <si>
    <t>Ос общие</t>
  </si>
  <si>
    <t>доля в %</t>
  </si>
  <si>
    <t>Стоимость имущества всего</t>
  </si>
  <si>
    <t>Распределение налога на имущество за 2018 год</t>
  </si>
  <si>
    <t>Стоимость имущества передаваемая в 2019 году ( забалансовые объекты)</t>
  </si>
  <si>
    <t>Плановая сумма налога на имущество        2020 год</t>
  </si>
  <si>
    <t>Плановая сумма налога на имущество     2021 год</t>
  </si>
  <si>
    <t>Плановая сумма налога на имущество      2022 год</t>
  </si>
  <si>
    <t>Плановая сумма налога на имущество      2023 год</t>
  </si>
  <si>
    <t>ВОДОСНАБЖЕНИЕ</t>
  </si>
  <si>
    <t>ВОДООТВЕДЕНИЕ</t>
  </si>
  <si>
    <t>Прочие услуги</t>
  </si>
  <si>
    <t xml:space="preserve">ИТОГО </t>
  </si>
  <si>
    <t>Шумская Ж.В.</t>
  </si>
  <si>
    <t>1.7.6</t>
  </si>
  <si>
    <t>Услуги Симплекс и доставкка квитанций</t>
  </si>
  <si>
    <t>1.7.8</t>
  </si>
  <si>
    <t>Расчет выпадающих доходов МП КХ "Водоканал" про объемам за 2018 год</t>
  </si>
  <si>
    <t>Выплаты, принимаемые к распределению на регулируемую деятельность ( без премии к профессиональному празднику и материальной помощи к отпуску, в т.ч на</t>
  </si>
  <si>
    <t>по выручке , значение, в тыс. руб.</t>
  </si>
  <si>
    <t>Распределение пропорционально ВЫРУЧКЕ</t>
  </si>
  <si>
    <t>п. 1.6 Цеховые расходы ,23  счет</t>
  </si>
  <si>
    <t>Расходы на оплату труда цехового персонала (больничные листы)</t>
  </si>
  <si>
    <t>Проверка НВВ</t>
  </si>
  <si>
    <t>Проверка тарифа</t>
  </si>
  <si>
    <t>проверка НВВ</t>
  </si>
  <si>
    <t>проверка тарифа</t>
  </si>
  <si>
    <t>факт , данные организации</t>
  </si>
  <si>
    <t>1.7.2.</t>
  </si>
  <si>
    <t>Флокулянт  суперфлок  С494</t>
  </si>
  <si>
    <t>Кредитный договор № 100-0004-18-2-24ПАО "Промсвязьбанк",454 млн</t>
  </si>
  <si>
    <t>ПАО  банк "Финансовая корпорация Открытие",Кредитный договор № 92-18/ВК-22Ф,7 9,9 млн</t>
  </si>
  <si>
    <t>факт ( данные организации)</t>
  </si>
  <si>
    <t>ВСЕГО по произв. Программе,  вт.ч.</t>
  </si>
  <si>
    <t>мероприятия капитального характера ( РЕМОНТНЫЕ)</t>
  </si>
  <si>
    <t>ПРИОБРЕТЕНИЕ ПРИБОРОВ  УЧЕТА</t>
  </si>
  <si>
    <t>МОНТАЖ ПРИБОРОВ УЧЕТА</t>
  </si>
  <si>
    <t>Сумм аамортизации по забалансовым объектам, принимаемым к учету с июня 2019</t>
  </si>
  <si>
    <t>по объемам реализации за 2018 год</t>
  </si>
  <si>
    <t>Другие ( по объемама)</t>
  </si>
  <si>
    <t>газ</t>
  </si>
  <si>
    <t>Расходы на оплату товаров (услуг, работ), приобретаемых у других организаций, осуществляющих регулируемые виды деятельности , РАСХОДЫ НА ПЕРЕДАЧУи ОЧИСТКУ СТОКОВ СТОКОВ</t>
  </si>
  <si>
    <t>ФГУП "Силикатстром"</t>
  </si>
  <si>
    <t>Затраты на транспортирование стоков по Силикатстром</t>
  </si>
  <si>
    <t>ПСЗ "Янтарь"</t>
  </si>
  <si>
    <t>Затраты на транспортирование стоковпо  поставщику ПСЗ Янтарь</t>
  </si>
  <si>
    <t>Контроль качества сточных вод ( расход.матеиалы и реактивы, услуги стор. Организаций по экологии и пр.)</t>
  </si>
  <si>
    <t>Охрана труда ( спецодежда,молоко)</t>
  </si>
  <si>
    <t>Всего по произв.программе за счет "Амортизации"</t>
  </si>
  <si>
    <t>Сумма амортизации по общим ОС в размере 48% от выручки</t>
  </si>
  <si>
    <t xml:space="preserve">Сумма амортизации по общим ОС в размере 34% от выручки </t>
  </si>
  <si>
    <t>Сумма амортизационных отчислений без учета 98 сч</t>
  </si>
  <si>
    <t>Корректировка НВВ ( выпадающие доходы)</t>
  </si>
  <si>
    <t>Справочно: расходы на капитальный ремонт, предусмотренные производственной программой регулируемой организации за счет статьи "Амортизация"</t>
  </si>
  <si>
    <t>по строке адм. расходы в калькуляции</t>
  </si>
  <si>
    <t>Неподконтрольные расходы (налоги, проценты, энерг. ресурсы, кроме э/э), в том числе:</t>
  </si>
  <si>
    <t>Другие ( по объемам за 2018 год)</t>
  </si>
  <si>
    <t>Темп прироста тарифа ( объемы Водоканал)</t>
  </si>
  <si>
    <t>Темп прироста тарифа ( объемы СГРЦиТ)</t>
  </si>
  <si>
    <t>оприборивание за счет амортизации (справочно, не вкл. в опер. расх)</t>
  </si>
  <si>
    <t>кап.ремонт за счет амортизации ( справочно, не вкл. в опер. расх.)</t>
  </si>
  <si>
    <t>инвест.программа за счет амортизации ( справочно, не вкл. в опер. расх.)</t>
  </si>
  <si>
    <t>Амортизация ( с 2019 г. С учетом забалансовых объектов)</t>
  </si>
  <si>
    <t>инвест.программа за счет амортизации (справочно, не вкл. в опер. расх.)</t>
  </si>
  <si>
    <t>дополнительные мероприятия по ИП ( справочно, не вкл. в опер. расх.)</t>
  </si>
  <si>
    <t>Начальник ФЭО                Шумская Ж.В.</t>
  </si>
  <si>
    <t>Темп  прироста тарифа</t>
  </si>
  <si>
    <t>Расходы на оплату работ и услуг, выполняемые сторонними организациями и индивидуальными предпринимателями, связанные с эксплуатацией централизованных систем либо объектов в составе таких систем</t>
  </si>
  <si>
    <t>Расходы на оплату работ и услуг, выполняемые сторонними организациями и индивидуальными предпринимателями, связанные с эксплуатацией централизованных систем либо объектов в составе таких систем ( ПНР по очистным)</t>
  </si>
  <si>
    <r>
      <t>ОАО "Автотехсервис"</t>
    </r>
    <r>
      <rPr>
        <i/>
        <sz val="7"/>
        <rFont val="Tahoma"/>
        <family val="2"/>
        <charset val="204"/>
      </rPr>
      <t xml:space="preserve"> ( </t>
    </r>
    <r>
      <rPr>
        <b/>
        <i/>
        <sz val="7"/>
        <rFont val="Tahoma"/>
        <family val="2"/>
        <charset val="204"/>
      </rPr>
      <t>затраты на передачу стоков указаны ниже) в строке 195</t>
    </r>
  </si>
  <si>
    <t>прирост амортизации</t>
  </si>
  <si>
    <t>2 полугодие 2019</t>
  </si>
  <si>
    <t>прирост налога на имущество</t>
  </si>
  <si>
    <t>Расчетная величина стоимости налога на имуществоимущества за 2019 год ( забалансовые переданы с июня 2019)</t>
  </si>
  <si>
    <t>уточненный вариант июнь 2016</t>
  </si>
  <si>
    <t>Уточненный вариант  от июня 2019</t>
  </si>
  <si>
    <t>Сумма амортизации по ВВС с 01.01.2020</t>
  </si>
  <si>
    <t>Итого амортизация</t>
  </si>
  <si>
    <t>Уточненный вариант  от июля 2019</t>
  </si>
  <si>
    <t>Плановая сумма налога на имущество        2020 год с учетом налога по ВВС 23 662,69 тыс. руб</t>
  </si>
  <si>
    <t>Расчет налога на имущество  за 3 кв.2019</t>
  </si>
  <si>
    <t>по новым объектам</t>
  </si>
  <si>
    <t>по старым</t>
  </si>
  <si>
    <t>с учетом амортизации</t>
  </si>
  <si>
    <t>Приложение №2</t>
  </si>
  <si>
    <t>Приложение №3</t>
  </si>
  <si>
    <t>5. Амортизация  ВС</t>
  </si>
  <si>
    <t>без забаланс</t>
  </si>
  <si>
    <t>забаланс</t>
  </si>
  <si>
    <t>с уч. забаланса</t>
  </si>
  <si>
    <t>на 2020</t>
  </si>
  <si>
    <t>Утверждено в тарифе на 2018 год</t>
  </si>
  <si>
    <t>ВС+ВО</t>
  </si>
  <si>
    <t>Факт 2018</t>
  </si>
  <si>
    <t>в т.ч</t>
  </si>
  <si>
    <t>Дельта ( ВС+ВО факт минус план)</t>
  </si>
  <si>
    <t>МП КХ Водоканал  НВВ 2018</t>
  </si>
  <si>
    <t>ВСЕГО</t>
  </si>
  <si>
    <t>Прирост</t>
  </si>
  <si>
    <t>Индекс</t>
  </si>
  <si>
    <t xml:space="preserve">Текущие </t>
  </si>
  <si>
    <t>Операционные</t>
  </si>
  <si>
    <t>Неподконтрольные</t>
  </si>
  <si>
    <t xml:space="preserve">Отклонение фактически достигнутого уровня неподконтрольных расходов, </t>
  </si>
  <si>
    <t>тариф с НДС 20%</t>
  </si>
  <si>
    <t>Начальник ФЭО   Шумская Ж.В.</t>
  </si>
  <si>
    <t>индекс</t>
  </si>
  <si>
    <t>Суммарная корректировка НВВ по предписанию ФАС</t>
  </si>
  <si>
    <t>тариф без  НДС</t>
  </si>
  <si>
    <t>тариф с НДС</t>
  </si>
  <si>
    <t>Факт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</si>
  <si>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 АРЕНДА ПРИЧАЛА</t>
  </si>
  <si>
    <t>Прочие ( внутреннее водопотреб, дератизация, обслужив. лифтов, услуги по экологии, поверкуа приборов, посыпка дорож. покрытия;приобретение маршрут. карт, сертификация, акредит, расходы на содер. совм. имущества, вывоз мусора, ремонт и обслуж.транспорта, ТО газового оборудования, услуги стороннего атвотранспорта)</t>
  </si>
  <si>
    <t>Распределение налога на имущество за 2019 год</t>
  </si>
  <si>
    <t>Стоимость основных средств ГП КО "Водоканал" за 2019 год и расчет налога на имущество на 2020,2021-2023 годы</t>
  </si>
  <si>
    <t>% распределения налога</t>
  </si>
  <si>
    <t>Плановая сумма налога на имущество     2020год</t>
  </si>
  <si>
    <t>ПСБ, 110 млн</t>
  </si>
  <si>
    <t>ПСБ, 454 млн</t>
  </si>
  <si>
    <t>Открытие, 80 млн</t>
  </si>
  <si>
    <t>ПСБ, 100 млн</t>
  </si>
  <si>
    <t>Погашение кредита ПСБ 100 млн.рублей</t>
  </si>
  <si>
    <t>Распределение</t>
  </si>
  <si>
    <t>Факт 2019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</si>
  <si>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систем. АРЕНДА ПРИЧАЛА</t>
  </si>
  <si>
    <t>Прочие (Внутреннее вотодотв.; дератизация;обслуживание лифтов, оплата услуг стор. орг. по экологии;поверка приборов;посыпка пдоржного покрытия;приобртение маршрутных карт, содержание общедом. имущества, вывоз мусора, ремонт и обслуживание транспорта; страхование транспорта, ТО транспорта, ТО газового облуживания;услуги автомойки, спецорганизаций, услуги стороннего автотранспорта</t>
  </si>
  <si>
    <t>Ожидаемый 2020 год</t>
  </si>
  <si>
    <t>Погашение кредита ПСБ 454 млн.рублей</t>
  </si>
  <si>
    <t>По кредиту ПСБ. 100 млн. рублей</t>
  </si>
  <si>
    <t>задолженность</t>
  </si>
  <si>
    <t>проценты</t>
  </si>
  <si>
    <t>Факт 2019 год</t>
  </si>
  <si>
    <t>План движения денежных средств    ГП КО "Водоканал" на период действия кредитного договора  (2018-2023 годы)</t>
  </si>
  <si>
    <t>Текущий период 2020 год</t>
  </si>
  <si>
    <t>Ожидаемый период 2020 год</t>
  </si>
  <si>
    <t>теплоноситель  ( диз. топливо ВВС), отнесено к строке "теплоэнергия"</t>
  </si>
  <si>
    <t>Текущий  период 2020 год</t>
  </si>
  <si>
    <t>Ожидаемые 12 месяцев</t>
  </si>
  <si>
    <t>Прирост налога на имущество</t>
  </si>
  <si>
    <t>Вместе с диз. топливом из раздела ГСМ</t>
  </si>
  <si>
    <t>вопрос</t>
  </si>
  <si>
    <t>налог на прибыль</t>
  </si>
  <si>
    <t>Ожидаемый  период 2020 год</t>
  </si>
  <si>
    <t>на сонтаж и установку прибооров учета</t>
  </si>
  <si>
    <r>
      <t xml:space="preserve">ПАО "Промсвязьбанк", </t>
    </r>
    <r>
      <rPr>
        <sz val="8"/>
        <color indexed="8"/>
        <rFont val="Times New Roman"/>
        <family val="1"/>
        <charset val="204"/>
      </rPr>
      <t>договор № 100-0007-20-3-19 от 02.04.2020 г.  100 млн</t>
    </r>
  </si>
  <si>
    <t>Расходы на охрану режимных объектов, в т.ч</t>
  </si>
  <si>
    <t>объекты режимные</t>
  </si>
  <si>
    <t>территории административные</t>
  </si>
  <si>
    <t>по предписанию ФАС</t>
  </si>
  <si>
    <t>Сульфат железа (PIX)</t>
  </si>
  <si>
    <t>на случай высокого содержания фосфара в исходной воде планируем по норме</t>
  </si>
  <si>
    <t>ПАО "Промсвязьбанк", договор № 100-0005-18-3-19 , 110 мн, договор от 02.04.2020 на 100 млн</t>
  </si>
  <si>
    <t>Услуги Симплекс и по доставке квитанций</t>
  </si>
  <si>
    <t>Факт ВС</t>
  </si>
  <si>
    <t>Факт ВО</t>
  </si>
  <si>
    <t>Факт  ВС+ВО</t>
  </si>
  <si>
    <t>ГП КО "Водоканал"</t>
  </si>
  <si>
    <t xml:space="preserve">Включено в тарифную заявку </t>
  </si>
  <si>
    <t>Расчет выпадающих доходов ГП КО "Водоканал" про объемам за 2018 год( корректировка по объему)</t>
  </si>
  <si>
    <t>Базовый период 2019 год</t>
  </si>
  <si>
    <t>Ожидаемы период 2020 год</t>
  </si>
  <si>
    <t>Усл. обозн./ед.изм.</t>
  </si>
  <si>
    <t>корр</t>
  </si>
  <si>
    <t>Необходимая валовая выручка план/факт</t>
  </si>
  <si>
    <t>НВВ, тыс. руб.</t>
  </si>
  <si>
    <t>ОР17</t>
  </si>
  <si>
    <t>НР17</t>
  </si>
  <si>
    <t>Расходы на энергоресурсы</t>
  </si>
  <si>
    <t>РЭ17</t>
  </si>
  <si>
    <t>Пересчитанные расходыэ/э</t>
  </si>
  <si>
    <t xml:space="preserve">удельный расход электроэнергии (по плану) </t>
  </si>
  <si>
    <t>тариф электроэнерг</t>
  </si>
  <si>
    <t>А17</t>
  </si>
  <si>
    <t>Нормативная прибыль (норматив прибыли  по плану)</t>
  </si>
  <si>
    <t>ПР17</t>
  </si>
  <si>
    <t>норма прибыли (по плану)</t>
  </si>
  <si>
    <t>Средневзвешенный годовой тариф СГРЦиТ</t>
  </si>
  <si>
    <t>Объем воды/стоков</t>
  </si>
  <si>
    <t>Корректировка по 2016 г.</t>
  </si>
  <si>
    <t>Расчет корректировки</t>
  </si>
  <si>
    <t>Товарная выручка за 2017 год</t>
  </si>
  <si>
    <t>ТВ17факт=Vфакт17*Тариф17</t>
  </si>
  <si>
    <t>НВВ фактическое за 2017 год</t>
  </si>
  <si>
    <t xml:space="preserve">НВВ17факт </t>
  </si>
  <si>
    <t>Размер корректировки НВВ за 2017 год с ИПЦ</t>
  </si>
  <si>
    <t xml:space="preserve"> ∆НВВкорр-ка17 = (НВВ17факт - ТВ17)*(1+ИПЦ18)*(1+ИПЦ19)</t>
  </si>
  <si>
    <t>ИПЦ2018</t>
  </si>
  <si>
    <t>ИПЦ2019</t>
  </si>
  <si>
    <t>Скорректированная НВВ на 2019 год, тыс. руб.</t>
  </si>
  <si>
    <t>HBBкорр19 = НВВ2019 + ∆НВВ17ф * (1+ИПЦ18)*(1+ИПЦ19)</t>
  </si>
  <si>
    <t>Среднегодовой тариф на 2019 год</t>
  </si>
  <si>
    <t>Скоректированный объем воды/стоков на 2019 год</t>
  </si>
  <si>
    <t>Процент корректировки объемов воды/стоков</t>
  </si>
  <si>
    <t>Объем водоснабжения/водоотведения</t>
  </si>
  <si>
    <t xml:space="preserve">Неподконтрольные </t>
  </si>
  <si>
    <t>принято/факт</t>
  </si>
  <si>
    <t xml:space="preserve">Налог на имущество </t>
  </si>
  <si>
    <t>Выполнение инвестпрограммы</t>
  </si>
  <si>
    <t>НВВ19=HBBплан19 + ∆НВВкорр-ка17 * (1 + ИПЦ18) * (1 + ИПЦ19) + ∆Икорр-ка17 - ∆ЦП17</t>
  </si>
  <si>
    <t xml:space="preserve"> ******   2017 г.</t>
  </si>
  <si>
    <t xml:space="preserve">  =</t>
  </si>
  <si>
    <t>услуги стор орг</t>
  </si>
  <si>
    <t>текщий ремонт</t>
  </si>
  <si>
    <t>Всего:</t>
  </si>
  <si>
    <t>корректировка ОР 2017 г. на ИПЦ</t>
  </si>
  <si>
    <r>
      <rPr>
        <b/>
        <sz val="11"/>
        <color theme="1"/>
        <rFont val="Calibri"/>
        <family val="2"/>
        <charset val="204"/>
      </rPr>
      <t>НВВ</t>
    </r>
    <r>
      <rPr>
        <b/>
        <vertAlign val="subscript"/>
        <sz val="11"/>
        <color theme="1"/>
        <rFont val="Calibri"/>
        <family val="2"/>
        <charset val="204"/>
      </rPr>
      <t>19</t>
    </r>
    <r>
      <rPr>
        <sz val="11"/>
        <color theme="1"/>
        <rFont val="Calibri"/>
        <family val="2"/>
        <charset val="204"/>
      </rPr>
      <t xml:space="preserve"> - НВВ на 2019 год долгосрочного периода регулирования с учетом отклонений фактических значений параметров расчета тарифов от значений, учтенных при установлении тарифов;</t>
    </r>
  </si>
  <si>
    <r>
      <rPr>
        <b/>
        <sz val="11"/>
        <color theme="1"/>
        <rFont val="Calibri"/>
        <family val="2"/>
        <charset val="204"/>
      </rPr>
      <t>HBB</t>
    </r>
    <r>
      <rPr>
        <b/>
        <vertAlign val="subscript"/>
        <sz val="11"/>
        <color theme="1"/>
        <rFont val="Calibri"/>
        <family val="2"/>
        <charset val="204"/>
      </rPr>
      <t>план19</t>
    </r>
    <r>
      <rPr>
        <sz val="11"/>
        <color theme="1"/>
        <rFont val="Calibri"/>
        <family val="2"/>
        <charset val="204"/>
      </rPr>
      <t xml:space="preserve"> - НВВ, определяемая на 2019 год до начала долгосрочного периода регулирования (НВВ плановое на 2019 год), тыс. руб.;</t>
    </r>
  </si>
  <si>
    <r>
      <rPr>
        <b/>
        <sz val="11"/>
        <color theme="1"/>
        <rFont val="Calibri"/>
        <family val="2"/>
        <charset val="204"/>
      </rPr>
      <t>∆НВВ</t>
    </r>
    <r>
      <rPr>
        <b/>
        <vertAlign val="subscript"/>
        <sz val="11"/>
        <color theme="1"/>
        <rFont val="Calibri"/>
        <family val="2"/>
        <charset val="204"/>
      </rPr>
      <t>корр-ка17</t>
    </r>
    <r>
      <rPr>
        <sz val="11"/>
        <color theme="1"/>
        <rFont val="Calibri"/>
        <family val="2"/>
        <charset val="204"/>
      </rPr>
      <t xml:space="preserve"> - размер корректировки необходимой полановой выручки за 2017 год, тыс. руб.;</t>
    </r>
  </si>
  <si>
    <r>
      <rPr>
        <b/>
        <sz val="11"/>
        <color theme="1"/>
        <rFont val="Calibri"/>
        <family val="2"/>
        <charset val="204"/>
      </rPr>
      <t>∆И</t>
    </r>
    <r>
      <rPr>
        <b/>
        <vertAlign val="subscript"/>
        <sz val="11"/>
        <color theme="1"/>
        <rFont val="Calibri"/>
        <family val="2"/>
        <charset val="204"/>
      </rPr>
      <t>корр-ка17</t>
    </r>
    <r>
      <rPr>
        <sz val="11"/>
        <color theme="1"/>
        <rFont val="Calibri"/>
        <family val="2"/>
        <charset val="204"/>
      </rPr>
      <t xml:space="preserve"> - величина отклонения показателя ввода объектов системы водоснабжения в эксплуатацию и изменения инвестиционной прграммы, тыс. руб.;</t>
    </r>
  </si>
  <si>
    <r>
      <rPr>
        <b/>
        <sz val="11"/>
        <color theme="1"/>
        <rFont val="Calibri"/>
        <family val="2"/>
        <charset val="204"/>
      </rPr>
      <t>∆ЦП</t>
    </r>
    <r>
      <rPr>
        <b/>
        <vertAlign val="subscript"/>
        <sz val="11"/>
        <color theme="1"/>
        <rFont val="Calibri"/>
        <family val="2"/>
        <charset val="204"/>
      </rPr>
      <t>17</t>
    </r>
    <r>
      <rPr>
        <sz val="11"/>
        <color theme="1"/>
        <rFont val="Calibri"/>
        <family val="2"/>
        <charset val="204"/>
      </rPr>
      <t xml:space="preserve"> - степень исполнения обязательств по созданию и (или) реконстуркции объектов КС, по эксплуатации объектов по договору аренды, находящиеся в государственной или муниципальной собственности, по реализции ИП, ПП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водоснабжения, тыс. руб.</t>
    </r>
  </si>
  <si>
    <t>Корректировка 2020</t>
  </si>
  <si>
    <t>Товарная выручка за 2019 год</t>
  </si>
  <si>
    <t>Корректировка 2019</t>
  </si>
  <si>
    <t>Корректировка 2021</t>
  </si>
  <si>
    <t>2020-2021</t>
  </si>
  <si>
    <t>2021-2022</t>
  </si>
  <si>
    <t>2021-2023</t>
  </si>
  <si>
    <t>Предписание ФАС России</t>
  </si>
  <si>
    <t>Снять с НВВ</t>
  </si>
  <si>
    <t>куб.м</t>
  </si>
  <si>
    <t>Необходимо снять</t>
  </si>
  <si>
    <t>Тариф требуемый</t>
  </si>
  <si>
    <t>Расшифровка неподконтрольных расходов</t>
  </si>
  <si>
    <t>проценты банкам</t>
  </si>
  <si>
    <t xml:space="preserve"> ИТОГО, в тыс. руб.</t>
  </si>
  <si>
    <t>сбытовые расходы</t>
  </si>
  <si>
    <t xml:space="preserve">топливо </t>
  </si>
  <si>
    <t>покупная вода</t>
  </si>
  <si>
    <t>транспортировка стоков</t>
  </si>
  <si>
    <t xml:space="preserve">с НДС </t>
  </si>
  <si>
    <t>надо снять</t>
  </si>
  <si>
    <t>Плановое распределение амортизации МП КХ "Водоканал" за 2021-2023 по направлениям использования.</t>
  </si>
  <si>
    <t>Распределение амортизации по годам, руб.</t>
  </si>
  <si>
    <t>Корректировка декабрь 2020</t>
  </si>
  <si>
    <t>период</t>
  </si>
  <si>
    <t>тарифная заявка апрель 2019</t>
  </si>
  <si>
    <t>корректировка ИП , октябрь 2019</t>
  </si>
  <si>
    <t>тарифная заявка апрель 2020</t>
  </si>
  <si>
    <t>Мероприятия ИП</t>
  </si>
  <si>
    <t>Амортизация на мероприятия ИП, в т.ч</t>
  </si>
  <si>
    <t>Мероприятия ИП (ранее включенные)</t>
  </si>
  <si>
    <t>Финансирование ПП</t>
  </si>
  <si>
    <t>Амортизация на ПП</t>
  </si>
  <si>
    <t xml:space="preserve">Монтаж приборов учета ресурса </t>
  </si>
  <si>
    <t>Итого по Производственной программе</t>
  </si>
  <si>
    <t>Мероприятия  ИП</t>
  </si>
  <si>
    <t>Дополнительные мероприятия ИП</t>
  </si>
  <si>
    <t>Дополнительные мероприятия на ИП, в том числе:</t>
  </si>
  <si>
    <t xml:space="preserve">Реконструкция КНС-1 в г. Калининграде </t>
  </si>
  <si>
    <t>Реконструкция КНС-2 в г. Калининграде</t>
  </si>
  <si>
    <t xml:space="preserve">Мероприятия ИП </t>
  </si>
  <si>
    <t>Приложение №1</t>
  </si>
  <si>
    <t>№ пп.</t>
  </si>
  <si>
    <t>ПП</t>
  </si>
  <si>
    <t>Производственная программа</t>
  </si>
  <si>
    <t>ИП</t>
  </si>
  <si>
    <t>Инвестиционная программа</t>
  </si>
  <si>
    <t xml:space="preserve">Исполнитель </t>
  </si>
  <si>
    <t>Начальник ФЭО                    Шумская Ж.В.</t>
  </si>
  <si>
    <t>тел.667514</t>
  </si>
  <si>
    <t xml:space="preserve">проценты </t>
  </si>
  <si>
    <t xml:space="preserve">плановые </t>
  </si>
  <si>
    <t>налоги прочие</t>
  </si>
  <si>
    <t>корректировка</t>
  </si>
  <si>
    <t>дельта</t>
  </si>
  <si>
    <t>плановые</t>
  </si>
  <si>
    <t>коррект.</t>
  </si>
  <si>
    <t>II вариант</t>
  </si>
  <si>
    <t>01.01.21-30.06.21</t>
  </si>
  <si>
    <t>01.07.21-31.12.21</t>
  </si>
  <si>
    <t>01.01.-30.06.</t>
  </si>
  <si>
    <t>01.01.22-30.06.22</t>
  </si>
  <si>
    <t>01.07.22-31.12.22</t>
  </si>
  <si>
    <t>01.07-31.12</t>
  </si>
  <si>
    <t>01.01.23-30.06.23</t>
  </si>
  <si>
    <t>01.07.23-31.12.23</t>
  </si>
  <si>
    <t>Т, руб./м3</t>
  </si>
  <si>
    <t>Объем, тыс. м3</t>
  </si>
  <si>
    <t>Предписание по ИП, тыс. руб.</t>
  </si>
  <si>
    <t>Предписание по КиЗ, тыс. руб.</t>
  </si>
  <si>
    <t>Налог на имущество, тыс. руб.</t>
  </si>
  <si>
    <t>НВВ (с учетом предписания), тыс. руб.</t>
  </si>
  <si>
    <r>
      <rPr>
        <b/>
        <sz val="9"/>
        <color rgb="FFFF0000"/>
        <rFont val="Tahoma"/>
        <family val="2"/>
        <charset val="204"/>
      </rPr>
      <t>НВВ</t>
    </r>
    <r>
      <rPr>
        <b/>
        <sz val="9"/>
        <color theme="1"/>
        <rFont val="Tahoma"/>
        <family val="2"/>
        <charset val="204"/>
      </rPr>
      <t xml:space="preserve"> (с учетом предписания), тыс. руб.</t>
    </r>
  </si>
  <si>
    <t>Вариант - исключение из НВВ 2021-2022 годов</t>
  </si>
  <si>
    <t>предельный</t>
  </si>
  <si>
    <t>Примечание</t>
  </si>
  <si>
    <t>Период</t>
  </si>
  <si>
    <t>Год</t>
  </si>
  <si>
    <t>I полугодие</t>
  </si>
  <si>
    <t>II полугодие</t>
  </si>
  <si>
    <t>Удалить</t>
  </si>
  <si>
    <t>Наименование показателя</t>
  </si>
  <si>
    <t>Всего по организации</t>
  </si>
  <si>
    <t>Выбор используемых реагентов - двойным щелчком мыши в расчётном блоке (в колонке "Год") напротив наименования</t>
  </si>
  <si>
    <t>COAG</t>
  </si>
  <si>
    <t>Коагулянты</t>
  </si>
  <si>
    <t>HDSFAL</t>
  </si>
  <si>
    <t>гидроксохлоросульфат алюминия (коагулянт смешанного типа)</t>
  </si>
  <si>
    <t>FES</t>
  </si>
  <si>
    <t>железный купорос</t>
  </si>
  <si>
    <t>OXCLAL</t>
  </si>
  <si>
    <t>оксихлорид алюминия</t>
  </si>
  <si>
    <t>OXCLAL10</t>
  </si>
  <si>
    <t>оксихлорид алюминия 10 %</t>
  </si>
  <si>
    <t>OXCLAL18</t>
  </si>
  <si>
    <t>оксихлорид алюминия 18 %</t>
  </si>
  <si>
    <t>OXCLAL30</t>
  </si>
  <si>
    <t>оксихлорид алюминия 30 %</t>
  </si>
  <si>
    <t>PLOXCLAL</t>
  </si>
  <si>
    <t xml:space="preserve">полиоксихлорид алюминия </t>
  </si>
  <si>
    <t>PLOXCLAL10</t>
  </si>
  <si>
    <t>полиоксихлорид алюминия 10 %</t>
  </si>
  <si>
    <t>PLOXCLAL18</t>
  </si>
  <si>
    <t>полиоксихлорид алюминия 18 %</t>
  </si>
  <si>
    <t>PLOXCLAL30</t>
  </si>
  <si>
    <t>полиоксихлорид алюминия 30 %</t>
  </si>
  <si>
    <t>SFAL</t>
  </si>
  <si>
    <t xml:space="preserve">сульфат алюминия </t>
  </si>
  <si>
    <t>OTH</t>
  </si>
  <si>
    <t>FLOC</t>
  </si>
  <si>
    <t>Флокулянты</t>
  </si>
  <si>
    <t>MGFLK</t>
  </si>
  <si>
    <t>Магнафлок</t>
  </si>
  <si>
    <t>PRSTL</t>
  </si>
  <si>
    <t>Праестол</t>
  </si>
  <si>
    <t>PRSTL853</t>
  </si>
  <si>
    <t>Праестол 853 BC</t>
  </si>
  <si>
    <t>PRSTL650</t>
  </si>
  <si>
    <t>Праестол 650 BC</t>
  </si>
  <si>
    <t>PRSTL2515</t>
  </si>
  <si>
    <t>Праестол 2515 TR</t>
  </si>
  <si>
    <t>GRLIFEK47</t>
  </si>
  <si>
    <t>Гринлайф К 47</t>
  </si>
  <si>
    <t>GRLIFEK41</t>
  </si>
  <si>
    <t>Гринлайф К 41</t>
  </si>
  <si>
    <t>GRLIFEA10PV</t>
  </si>
  <si>
    <t>Гринлайф А 10 ПВ</t>
  </si>
  <si>
    <t>REAG</t>
  </si>
  <si>
    <t>AGRP</t>
  </si>
  <si>
    <t>агар питательный</t>
  </si>
  <si>
    <t>AGRE</t>
  </si>
  <si>
    <t>агар Эндо</t>
  </si>
  <si>
    <t>ALOX</t>
  </si>
  <si>
    <t>алюминий окись</t>
  </si>
  <si>
    <t>ALS</t>
  </si>
  <si>
    <t>алюминий сернокислый</t>
  </si>
  <si>
    <t>AM</t>
  </si>
  <si>
    <t>аммиак</t>
  </si>
  <si>
    <t>AMW</t>
  </si>
  <si>
    <t>аммиачная вода</t>
  </si>
  <si>
    <t>AMN</t>
  </si>
  <si>
    <t>аммоний</t>
  </si>
  <si>
    <t>AMNCL</t>
  </si>
  <si>
    <t>аммоний хлористый</t>
  </si>
  <si>
    <t>BACL</t>
  </si>
  <si>
    <t>барий хлористый</t>
  </si>
  <si>
    <t>BIOX</t>
  </si>
  <si>
    <t>биоксимин</t>
  </si>
  <si>
    <t>BRFNL</t>
  </si>
  <si>
    <t>бромфеноловый синий</t>
  </si>
  <si>
    <t>HDOX</t>
  </si>
  <si>
    <t>водорода перекись</t>
  </si>
  <si>
    <t>GEXN</t>
  </si>
  <si>
    <t>гексан</t>
  </si>
  <si>
    <t>HDOXCL</t>
  </si>
  <si>
    <t>гидроксиламин солянокислый</t>
  </si>
  <si>
    <t>HDCLCA</t>
  </si>
  <si>
    <t>гидрохлорид кальция</t>
  </si>
  <si>
    <t>HPCLCA</t>
  </si>
  <si>
    <t>гипохлорит кальция</t>
  </si>
  <si>
    <t>HPCLNA</t>
  </si>
  <si>
    <t>гипохлорит натрия</t>
  </si>
  <si>
    <t>GLC</t>
  </si>
  <si>
    <t>глицерин</t>
  </si>
  <si>
    <t>DFNLCD</t>
  </si>
  <si>
    <t>дифенилкарбазид</t>
  </si>
  <si>
    <t>DFNLCN</t>
  </si>
  <si>
    <t>дифенилкарбазон</t>
  </si>
  <si>
    <t>железо сернокислое</t>
  </si>
  <si>
    <t>FECL</t>
  </si>
  <si>
    <t>железо трёххлористое</t>
  </si>
  <si>
    <t>LIMENP</t>
  </si>
  <si>
    <t>известь негашёная (порошок)</t>
  </si>
  <si>
    <t>LIMENH</t>
  </si>
  <si>
    <t>известь негашёная гидратная</t>
  </si>
  <si>
    <t>LIMECL</t>
  </si>
  <si>
    <t>известь хлорная</t>
  </si>
  <si>
    <t>KN</t>
  </si>
  <si>
    <t>калий азотнокислый</t>
  </si>
  <si>
    <t>KCR</t>
  </si>
  <si>
    <t>калий двухромовокислый</t>
  </si>
  <si>
    <t>KI</t>
  </si>
  <si>
    <t>калий йодистый</t>
  </si>
  <si>
    <t>KMN</t>
  </si>
  <si>
    <t>калий марганцевокислый</t>
  </si>
  <si>
    <t>KP</t>
  </si>
  <si>
    <t>калий фосфорнокислый</t>
  </si>
  <si>
    <t>HCL</t>
  </si>
  <si>
    <t>калий хлористый</t>
  </si>
  <si>
    <t>KNA</t>
  </si>
  <si>
    <t>калий-натрий виннокислый</t>
  </si>
  <si>
    <t>CAC</t>
  </si>
  <si>
    <t>кальций углекислый</t>
  </si>
  <si>
    <t>CACL</t>
  </si>
  <si>
    <t>кальций хлористый</t>
  </si>
  <si>
    <t>CAHPCL</t>
  </si>
  <si>
    <t>кальция гипохлорит</t>
  </si>
  <si>
    <t>SAND</t>
  </si>
  <si>
    <t>кварцевый песок</t>
  </si>
  <si>
    <t>ACIDN</t>
  </si>
  <si>
    <t>кислота азотная</t>
  </si>
  <si>
    <t>ACIDA</t>
  </si>
  <si>
    <t>кислота аскорбиновая</t>
  </si>
  <si>
    <t>ACIDL</t>
  </si>
  <si>
    <t>кислота лимонная</t>
  </si>
  <si>
    <t>AURIN</t>
  </si>
  <si>
    <t>кислота розоловая (аурин)</t>
  </si>
  <si>
    <t>ACIDS</t>
  </si>
  <si>
    <t>кислота серная</t>
  </si>
  <si>
    <t>ADIDCL</t>
  </si>
  <si>
    <t>кислота соляная</t>
  </si>
  <si>
    <t>ACIDAC</t>
  </si>
  <si>
    <t>кислота уксусная</t>
  </si>
  <si>
    <t>ACIDOX</t>
  </si>
  <si>
    <t>кислота щавелевая</t>
  </si>
  <si>
    <t>STARCH</t>
  </si>
  <si>
    <t>крахмал</t>
  </si>
  <si>
    <t>LANTN</t>
  </si>
  <si>
    <t>лантан азотнокислый</t>
  </si>
  <si>
    <t>MGS</t>
  </si>
  <si>
    <t>магний сернокислый</t>
  </si>
  <si>
    <t>FLOSPERSE</t>
  </si>
  <si>
    <t>модифицированные аминофосфоновые кислоты и фосфонаты (FLOSPERSE)</t>
  </si>
  <si>
    <t>NATR</t>
  </si>
  <si>
    <t>натр едкий</t>
  </si>
  <si>
    <t>NAHDOX</t>
  </si>
  <si>
    <t>натрий гидроокись</t>
  </si>
  <si>
    <t>NASLC</t>
  </si>
  <si>
    <t>натрий салициловокислый</t>
  </si>
  <si>
    <t>NAS</t>
  </si>
  <si>
    <t>натрий сернокислый</t>
  </si>
  <si>
    <t>NAC</t>
  </si>
  <si>
    <t>натрий углекислый</t>
  </si>
  <si>
    <t>NAAC</t>
  </si>
  <si>
    <t>натрий уксуснокислый</t>
  </si>
  <si>
    <t>NACL</t>
  </si>
  <si>
    <t>натрий хлористый</t>
  </si>
  <si>
    <t>FLOFOAM</t>
  </si>
  <si>
    <t>пеногаситель (FLOFOAM)</t>
  </si>
  <si>
    <t>RGRS</t>
  </si>
  <si>
    <t>реактив Грисса</t>
  </si>
  <si>
    <t>RNSL</t>
  </si>
  <si>
    <t>реактив Несслера</t>
  </si>
  <si>
    <t>PBAC</t>
  </si>
  <si>
    <t>свинец уксуснокислый</t>
  </si>
  <si>
    <t>AGN</t>
  </si>
  <si>
    <t>серебро азотнокислое</t>
  </si>
  <si>
    <t>AGS</t>
  </si>
  <si>
    <t>серебро сернокислое</t>
  </si>
  <si>
    <t>SODACA</t>
  </si>
  <si>
    <t>сода кальцинированная</t>
  </si>
  <si>
    <t>SODACS</t>
  </si>
  <si>
    <t>сода каустическая</t>
  </si>
  <si>
    <t>SALT1G</t>
  </si>
  <si>
    <t>соль 1 сорт</t>
  </si>
  <si>
    <t>SALT</t>
  </si>
  <si>
    <t>соль пищевая поваренная</t>
  </si>
  <si>
    <t>SALTPL</t>
  </si>
  <si>
    <t>соль таблетированная</t>
  </si>
  <si>
    <t>SALTTH</t>
  </si>
  <si>
    <t>соль техническая</t>
  </si>
  <si>
    <t>SALTEX</t>
  </si>
  <si>
    <t>соль экстра</t>
  </si>
  <si>
    <t>C2H5OH</t>
  </si>
  <si>
    <t>спирт</t>
  </si>
  <si>
    <t>SFAL1G</t>
  </si>
  <si>
    <t>сульфат алюминия 1 сорт</t>
  </si>
  <si>
    <t>SFALLQD</t>
  </si>
  <si>
    <t>сульфат алюминия жидкий</t>
  </si>
  <si>
    <t>SFALT</t>
  </si>
  <si>
    <t>сульфат алюминия технический</t>
  </si>
  <si>
    <t>SFAMN</t>
  </si>
  <si>
    <t>сульфат аммония</t>
  </si>
  <si>
    <t>TM</t>
  </si>
  <si>
    <t>тиомочевина</t>
  </si>
  <si>
    <t>TSFNA</t>
  </si>
  <si>
    <t>тиосульфат натрия</t>
  </si>
  <si>
    <t>CARBONPWDRD</t>
  </si>
  <si>
    <t>углерод порошкообразный</t>
  </si>
  <si>
    <t>CCL4</t>
  </si>
  <si>
    <t>углерод четырёххлористый</t>
  </si>
  <si>
    <t>FFTLN</t>
  </si>
  <si>
    <t>фенолфталеин</t>
  </si>
  <si>
    <t>CL</t>
  </si>
  <si>
    <t>хлор</t>
  </si>
  <si>
    <t>CLLIQ</t>
  </si>
  <si>
    <t>хлор жидкий</t>
  </si>
  <si>
    <t>CLAMN</t>
  </si>
  <si>
    <t>хлорамин</t>
  </si>
  <si>
    <t>CLFRM</t>
  </si>
  <si>
    <t>хлороформ</t>
  </si>
  <si>
    <t>ETHL</t>
  </si>
  <si>
    <t>этиленгликоль</t>
  </si>
  <si>
    <t>21</t>
  </si>
  <si>
    <r>
      <t xml:space="preserve">Полезный отпуск продукции </t>
    </r>
    <r>
      <rPr>
        <sz val="8"/>
        <color indexed="10"/>
        <rFont val="Tahoma"/>
        <family val="2"/>
        <charset val="204"/>
      </rPr>
      <t>всего</t>
    </r>
  </si>
  <si>
    <t>Реагенты факт 2019 вода</t>
  </si>
  <si>
    <t>сгл</t>
  </si>
  <si>
    <t>кор</t>
  </si>
  <si>
    <t>удельный расход электроэнергии (по плану) очищенные стоки</t>
  </si>
  <si>
    <t>удельный расход электроэнергии (по плану) транспортируемые стоки</t>
  </si>
  <si>
    <t>Отклонение фактически достигнутого объёма принятых стоков</t>
  </si>
  <si>
    <t>Недостаточно средст на:</t>
  </si>
  <si>
    <t>Выпадающие</t>
  </si>
  <si>
    <t>операц.</t>
  </si>
  <si>
    <t>дельта добавить</t>
  </si>
  <si>
    <t>Только операционные расходы</t>
  </si>
  <si>
    <t>Тарифы на 2022, 2023</t>
  </si>
  <si>
    <t>Расшифровка затрат 2018 года, не обеспеченных тарифом ВОДОСНАБЖЕНИЕ</t>
  </si>
  <si>
    <t xml:space="preserve">Статья расходов </t>
  </si>
  <si>
    <t>НВВ, утвержденная на 2018г</t>
  </si>
  <si>
    <t>Выручка - факт за 2018г</t>
  </si>
  <si>
    <t>Отклонение</t>
  </si>
  <si>
    <t>Утвержденно в тарифе на 2018 год</t>
  </si>
  <si>
    <t>Фактические затртаы 2018 год</t>
  </si>
  <si>
    <t>Не обеспечено тарифом</t>
  </si>
  <si>
    <t>операционные</t>
  </si>
  <si>
    <t>Расходы на оплату труда производственного персонала и отчисления</t>
  </si>
  <si>
    <t>Услуги Симплекс и доставки квитанций</t>
  </si>
  <si>
    <t>Расходы на оплату труда административного персонала и отчисления</t>
  </si>
  <si>
    <t>ИТОГО:</t>
  </si>
  <si>
    <t>Расшифровка затрат 2018 года, не обеспеченных тарифом ВОДООТВЕДЕНИЕ</t>
  </si>
  <si>
    <t>Расходы на текущий ремонт</t>
  </si>
  <si>
    <t>Расходы на оплату труда административного  персонала и отчисления</t>
  </si>
  <si>
    <t>Услуги связи и интернет</t>
  </si>
  <si>
    <t xml:space="preserve">Сбытовые расходы </t>
  </si>
  <si>
    <t>неподконтрольные</t>
  </si>
  <si>
    <t>для сравнения</t>
  </si>
  <si>
    <t>включено в тариф 2020г</t>
  </si>
  <si>
    <t>2022г</t>
  </si>
  <si>
    <t>2023г</t>
  </si>
  <si>
    <t>общая сумма снятия по предпписанию ФАС</t>
  </si>
  <si>
    <t>Расшифровки представлены на листе "Расшифровки ВС"</t>
  </si>
  <si>
    <t>выпадающие по ОР</t>
  </si>
  <si>
    <t>ИП снятие за 2019г</t>
  </si>
  <si>
    <t>Выпадающие расходы за 2019 год: амортизация - 29129,23т.р., н/имущество - 985,52т.р., эл/энергия - 18933,95 т.р., охрана - 11654,17 т.р.</t>
  </si>
  <si>
    <t>По предписанию ФАС</t>
  </si>
  <si>
    <t>Корректировка по недополученным объемам за 2018 год, всего 106634,67 т.р., в 2020 году учтено 30227,83 т.р.</t>
  </si>
  <si>
    <t>Корректировка по недополученным объемам за 2018 год, всего заявлено 148 126,53 т.р. , должно быть учтено в 2021 г - 54 063,27 т.р.</t>
  </si>
  <si>
    <t>Выпадающие расходы за 2019 год: амортизация - 128 448,11т.р., н/имущество - 83 057,84т.р., эл/энергия - 11 010,19т.р., охрана - 4 703,6т.р., с учетом субсидии 2020 года - 71 862,01 т.р, 2021 года - 99 945 т.р., подлежит в ключению в тариф - 55 412,73 т.р.</t>
  </si>
  <si>
    <t>Выпадающие расходы ожидаемые за 2020 год в сумме 101 153,73 т.р., в том числе:  амортизация - 40882,41т.р., н/имущество - 14351,68т.р., электроэнергия - 34495,84 т.р, реагенты - 11423,80т.р.</t>
  </si>
  <si>
    <t>Выпадающие расходы ожидаемые за 2020 год в сумме 263 155,68 т.р.. в том числе:  амортизация - 129 850,8 т.р., н/имущество - 117 684,37 т.р., электроэнергия - 18 822,73 т.р, реагенты - 3 202,24 т.р. С учетом отнесения на 3 расчетных периода по 87 718,56 т.р. в год.</t>
  </si>
  <si>
    <t>учесть в тарифе 2024г</t>
  </si>
  <si>
    <t>ИП снятие за 2020г</t>
  </si>
  <si>
    <t>НВВ фактическое за 2019 год</t>
  </si>
  <si>
    <t>По данным коррект 2021 года</t>
  </si>
  <si>
    <t>корректировка по 2019</t>
  </si>
  <si>
    <t xml:space="preserve"> ******   2019.</t>
  </si>
  <si>
    <t>Аварийно-диспетч обсл</t>
  </si>
  <si>
    <t xml:space="preserve">Корректировка </t>
  </si>
  <si>
    <t>Корректировка НВВ на 2021 год</t>
  </si>
  <si>
    <t>Корректировка по 2019 году</t>
  </si>
  <si>
    <t>Корректировка по предыдущему периоду</t>
  </si>
  <si>
    <t>нвв</t>
  </si>
  <si>
    <t>питьевая вода</t>
  </si>
  <si>
    <t>ээ</t>
  </si>
  <si>
    <t>корректировка по предыдущему периоду</t>
  </si>
  <si>
    <t xml:space="preserve">корректировка  выпадающте доходы </t>
  </si>
  <si>
    <t>Корректировка НВВ ИТОГО</t>
  </si>
  <si>
    <t>К роста опер. расходов</t>
  </si>
  <si>
    <t xml:space="preserve">выпадающие расходы </t>
  </si>
  <si>
    <t xml:space="preserve">по ФОТ  производственного </t>
  </si>
  <si>
    <t>и ремонтного персонала</t>
  </si>
  <si>
    <t>ЕСН</t>
  </si>
  <si>
    <t>Постатейная расшифровка затрат в тарифе на 2021 год</t>
  </si>
  <si>
    <t>К роста ОР</t>
  </si>
  <si>
    <t>Постатейная расшифровка затрат в тарифе на 2021</t>
  </si>
  <si>
    <t>2022 к 2021 опер</t>
  </si>
  <si>
    <t>непод  22/21</t>
  </si>
  <si>
    <t>опер</t>
  </si>
  <si>
    <t>недополученые доходы</t>
  </si>
  <si>
    <t>опер.</t>
  </si>
  <si>
    <t>непод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</si>
</sst>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3" formatCode="_-* #,##0.00\ _₽_-;\-* #,##0.00\ _₽_-;_-* &quot;-&quot;??\ _₽_-;_-@_-"/>
    <numFmt numFmtId="164" formatCode="0.0%"/>
    <numFmt numFmtId="165" formatCode="0.000"/>
    <numFmt numFmtId="166" formatCode="#,##0.000"/>
    <numFmt numFmtId="167" formatCode="#,##0.0"/>
    <numFmt numFmtId="168" formatCode="0.0"/>
    <numFmt numFmtId="169" formatCode="_-* #,##0.00[$€-1]_-;\-* #,##0.00[$€-1]_-;_-* &quot;-&quot;??[$€-1]_-"/>
    <numFmt numFmtId="170" formatCode="0.0%_);\(0.0%\)"/>
    <numFmt numFmtId="171" formatCode="_(\$* #,##0.00_);_(\$* \(#,##0.00\);_(\$* &quot;-&quot;??_);_(@_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_-* #,##0.00&quot;р.&quot;_-;\-* #,##0.00&quot;р.&quot;_-;_-* &quot;-&quot;??&quot;р.&quot;_-;_-@_-"/>
    <numFmt numFmtId="178" formatCode="\$#\.00"/>
    <numFmt numFmtId="179" formatCode="dd\-mmm\-yy"/>
    <numFmt numFmtId="180" formatCode="#\."/>
    <numFmt numFmtId="181" formatCode="@\ *."/>
    <numFmt numFmtId="182" formatCode="mmmm\ d\,\ yyyy"/>
    <numFmt numFmtId="183" formatCode="000000"/>
    <numFmt numFmtId="184" formatCode="&quot;?.&quot;#,##0_);[Red]\(&quot;?.&quot;#,##0\)"/>
    <numFmt numFmtId="185" formatCode="&quot;?.&quot;#,##0.00_);[Red]\(&quot;?.&quot;#,##0.00\)"/>
    <numFmt numFmtId="186" formatCode="General_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0000"/>
    <numFmt numFmtId="190" formatCode="_-* #,##0\ _F_-;\-* #,##0\ _F_-;_-* &quot;-&quot;\ _F_-;_-@_-"/>
    <numFmt numFmtId="191" formatCode="_-* #,##0.00_р_._-;\-* #,##0.00_р_._-;_-* &quot;-&quot;??_р_._-;_-@_-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-* #,##0.00\ _F_-;\-* #,##0.00\ _F_-;_-* &quot;-&quot;??\ _F_-;_-@_-"/>
    <numFmt numFmtId="195" formatCode="#,##0.0;\(#,##0.0\)"/>
    <numFmt numFmtId="196" formatCode="#,##0.0;[Red]\(#,##0.0\)"/>
    <numFmt numFmtId="197" formatCode="#,##0;[Red]\(#,##0\)"/>
    <numFmt numFmtId="198" formatCode="&quot;$&quot;#,##0_);[Red]\(&quot;$&quot;#,##0\)"/>
    <numFmt numFmtId="199" formatCode="_-* #,##0&quot;р.&quot;_-;\-* #,##0&quot;р.&quot;_-;_-* &quot;-&quot;&quot;р.&quot;_-;_-@_-"/>
    <numFmt numFmtId="200" formatCode="_-* #,##0.00\ &quot;F&quot;_-;\-* #,##0.00\ &quot;F&quot;_-;_-* &quot;-&quot;??\ &quot;F&quot;_-;_-@_-"/>
    <numFmt numFmtId="201" formatCode="\$#,##0\ ;\(\$#,##0\)"/>
    <numFmt numFmtId="202" formatCode="dd\.mm\.yyyy&quot;г.&quot;"/>
    <numFmt numFmtId="203" formatCode="_-* #,##0_-;\-* #,##0_-;_-* &quot;-&quot;_-;_-@_-"/>
    <numFmt numFmtId="204" formatCode="_-* #,##0.00_-;\-* #,##0.00_-;_-* &quot;-&quot;??_-;_-@_-"/>
    <numFmt numFmtId="205" formatCode="_-* #,##0_-;\-* #,##0_-;_-* \-??_-;_-@_-"/>
    <numFmt numFmtId="206" formatCode="_-* #,##0.00_р_._-;\-* #,##0.00_р_._-;_-* \-??_р_._-;_-@_-"/>
    <numFmt numFmtId="207" formatCode="#,##0.00;[Red]\-#,##0.00;&quot;-&quot;"/>
    <numFmt numFmtId="208" formatCode="#,##0.0_);\(#,##0.0\)"/>
    <numFmt numFmtId="209" formatCode="#,##0_ ;[Red]\-#,##0\ "/>
    <numFmt numFmtId="210" formatCode="#,##0_);[Blue]\(#,##0\)"/>
    <numFmt numFmtId="211" formatCode="_(* #,##0_);_(* \(#,##0\);_(* &quot;-&quot;??_);_(@_)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(&quot;$&quot;* #,##0_);_(&quot;$&quot;* \(#,##0\);_(&quot;$&quot;* &quot;-&quot;_);_(@_)"/>
    <numFmt numFmtId="216" formatCode="#\ ##0.000"/>
    <numFmt numFmtId="217" formatCode="#,##0.00&quot;т.р.&quot;;\-#,##0.00&quot;т.р.&quot;"/>
    <numFmt numFmtId="218" formatCode="_-* #,##0_)_-;\-* \(#,##0\)_-;_-* &quot;-&quot;_)_-;_-@_-"/>
    <numFmt numFmtId="219" formatCode="_-* #,##0.00\ _€_-;\-* #,##0.00\ _€_-;_-* \-??\ _€_-;_-@_-"/>
    <numFmt numFmtId="220" formatCode="#,##0.0;[Red]#,##0.0"/>
    <numFmt numFmtId="221" formatCode="_-* #,##0_đ_._-;\-* #,##0_đ_._-;_-* &quot;-&quot;_đ_._-;_-@_-"/>
    <numFmt numFmtId="222" formatCode="_-* #,##0.00_đ_._-;\-* #,##0.00_đ_._-;_-* &quot;-&quot;??_đ_._-;_-@_-"/>
    <numFmt numFmtId="223" formatCode="#,##0.00_);[Red]\(#,##0.00\)"/>
    <numFmt numFmtId="224" formatCode="_-* #,##0_р_._-;\-* #,##0_р_._-;_-* &quot;-&quot;_р_._-;_-@_-"/>
    <numFmt numFmtId="225" formatCode="\(#,##0.0\)"/>
    <numFmt numFmtId="226" formatCode="#,##0\ &quot;?.&quot;;\-#,##0\ &quot;?.&quot;"/>
    <numFmt numFmtId="227" formatCode="#,##0______;;&quot;------------      &quot;"/>
    <numFmt numFmtId="228" formatCode="_(* #,##0_);_(* \(#,##0\);_(* &quot;-&quot;_);_(@_)"/>
    <numFmt numFmtId="229" formatCode="#,##0;[Red]\-#,##0;&quot;-&quot;"/>
    <numFmt numFmtId="230" formatCode="_-&quot;Ј&quot;* #,##0_-;\-&quot;Ј&quot;* #,##0_-;_-&quot;Ј&quot;* &quot;-&quot;_-;_-@_-"/>
    <numFmt numFmtId="231" formatCode="_-&quot;Ј&quot;* #,##0.00_-;\-&quot;Ј&quot;* #,##0.00_-;_-&quot;Ј&quot;* &quot;-&quot;??_-;_-@_-"/>
    <numFmt numFmtId="232" formatCode="yyyy"/>
    <numFmt numFmtId="233" formatCode="yyyy\ &quot;год&quot;"/>
    <numFmt numFmtId="234" formatCode="#,##0.000_ ;\-#,##0.000\ "/>
    <numFmt numFmtId="235" formatCode="#,##0.00_ ;[Red]\-#,##0.00\ "/>
    <numFmt numFmtId="236" formatCode="#,##0.00&quot;р.&quot;;\-#,##0.00&quot;р.&quot;"/>
    <numFmt numFmtId="237" formatCode="_-* #,##0.00\ _р_._-;\-* #,##0.00\ _р_._-;_-* &quot;-&quot;??\ _р_._-;_-@_-"/>
    <numFmt numFmtId="238" formatCode="_-* #,##0\ _$_-;\-* #,##0\ _$_-;_-* &quot;-&quot;\ _$_-;_-@_-"/>
    <numFmt numFmtId="239" formatCode="#,##0.00_ ;\-#,##0.00\ "/>
    <numFmt numFmtId="240" formatCode="%#\.00"/>
    <numFmt numFmtId="241" formatCode="#,##0.0000"/>
    <numFmt numFmtId="242" formatCode="0.0000"/>
    <numFmt numFmtId="243" formatCode="#,##0.00000"/>
    <numFmt numFmtId="244" formatCode="#,##0.00000000"/>
    <numFmt numFmtId="245" formatCode="#,##0.000000"/>
  </numFmts>
  <fonts count="3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rgb="FFC00000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rgb="FFC00000"/>
      <name val="Tahoma"/>
      <family val="2"/>
      <charset val="204"/>
    </font>
    <font>
      <sz val="9"/>
      <color rgb="FFC00000"/>
      <name val="Tahoma"/>
      <family val="2"/>
      <charset val="204"/>
    </font>
    <font>
      <sz val="9"/>
      <name val="Tahoma"/>
      <family val="2"/>
      <charset val="204"/>
    </font>
    <font>
      <sz val="8"/>
      <color rgb="FFFFFFFF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002060"/>
      <name val="Tahoma"/>
      <family val="2"/>
      <charset val="204"/>
    </font>
    <font>
      <sz val="11"/>
      <color theme="7"/>
      <name val="Calibri"/>
      <family val="2"/>
      <charset val="204"/>
      <scheme val="minor"/>
    </font>
    <font>
      <sz val="8"/>
      <color theme="7"/>
      <name val="Tahoma"/>
      <family val="2"/>
      <charset val="204"/>
    </font>
    <font>
      <b/>
      <sz val="8"/>
      <color theme="7"/>
      <name val="Tahoma"/>
      <family val="2"/>
      <charset val="204"/>
    </font>
    <font>
      <sz val="9"/>
      <color theme="7"/>
      <name val="Tahoma"/>
      <family val="2"/>
      <charset val="204"/>
    </font>
    <font>
      <sz val="8"/>
      <color rgb="FFCC0000"/>
      <name val="Tahoma"/>
      <family val="2"/>
      <charset val="204"/>
    </font>
    <font>
      <sz val="8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80"/>
      <name val="Tahoma"/>
      <family val="2"/>
      <charset val="204"/>
    </font>
    <font>
      <b/>
      <sz val="9"/>
      <color rgb="FFC00000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rgb="FF000080"/>
      <name val="Tahoma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2"/>
      <color theme="1"/>
      <name val="Monotype Corsiva"/>
      <family val="4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0"/>
      <color indexed="24"/>
      <name val="Arial"/>
      <family val="2"/>
      <charset val="204"/>
    </font>
    <font>
      <sz val="10"/>
      <name val="Century Schoolbook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SimSun"/>
      <family val="2"/>
      <charset val="204"/>
    </font>
    <font>
      <sz val="10"/>
      <name val="SimSun"/>
      <family val="2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i/>
      <sz val="11"/>
      <color indexed="23"/>
      <name val="Calibri"/>
      <family val="2"/>
      <charset val="204"/>
    </font>
    <font>
      <b/>
      <sz val="10"/>
      <color indexed="25"/>
      <name val="Arial Narrow"/>
      <family val="2"/>
    </font>
    <font>
      <b/>
      <sz val="10"/>
      <name val="Arial Narrow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Narrow"/>
      <family val="2"/>
    </font>
    <font>
      <sz val="14"/>
      <name val="NewtonC"/>
      <charset val="204"/>
    </font>
    <font>
      <sz val="10"/>
      <name val="Palatino"/>
      <family val="1"/>
    </font>
    <font>
      <sz val="10"/>
      <name val="Arial MT"/>
      <family val="2"/>
    </font>
    <font>
      <sz val="12"/>
      <name val="№ЩЕБГј"/>
      <charset val="129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sz val="11"/>
      <color indexed="8"/>
      <name val="Arial Narrow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0"/>
      <color rgb="FF000000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rgb="FF3F3F76"/>
      <name val="Times New Roman"/>
      <family val="2"/>
      <charset val="204"/>
    </font>
    <font>
      <b/>
      <sz val="8"/>
      <name val="Arial Cyr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rgb="FF0000FF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color rgb="FF9C6500"/>
      <name val="Times New Roman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Verdana"/>
      <family val="2"/>
      <charset val="204"/>
    </font>
    <font>
      <sz val="12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sz val="11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rgb="FF7F7F7F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rgb="FFFA7D00"/>
      <name val="Times New Roman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7"/>
      <color rgb="FF000080"/>
      <name val="Tahoma"/>
      <family val="2"/>
      <charset val="204"/>
    </font>
    <font>
      <b/>
      <sz val="6"/>
      <color rgb="FF002060"/>
      <name val="Tahoma"/>
      <family val="2"/>
      <charset val="204"/>
    </font>
    <font>
      <b/>
      <sz val="10"/>
      <color rgb="FF002060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8"/>
      <name val="Tahoma"/>
      <family val="2"/>
      <charset val="204"/>
    </font>
    <font>
      <b/>
      <sz val="13.5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7"/>
      <name val="Tahom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99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10"/>
      <color rgb="FF000099"/>
      <name val="Arial"/>
      <family val="2"/>
      <charset val="204"/>
    </font>
    <font>
      <i/>
      <sz val="8"/>
      <color rgb="FF000099"/>
      <name val="Arial"/>
      <family val="2"/>
      <charset val="204"/>
    </font>
    <font>
      <b/>
      <i/>
      <sz val="8"/>
      <color rgb="FF000099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9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000099"/>
      <name val="Calibri"/>
      <family val="2"/>
      <charset val="204"/>
      <scheme val="minor"/>
    </font>
    <font>
      <sz val="8"/>
      <color rgb="FFC00000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sz val="8"/>
      <color theme="0"/>
      <name val="Tahoma"/>
      <family val="2"/>
      <charset val="204"/>
    </font>
    <font>
      <i/>
      <sz val="11"/>
      <color theme="9" tint="-0.249977111117893"/>
      <name val="Tahoma"/>
      <family val="2"/>
      <charset val="204"/>
    </font>
    <font>
      <b/>
      <sz val="7"/>
      <color rgb="FF002060"/>
      <name val="Tahoma"/>
      <family val="2"/>
      <charset val="204"/>
    </font>
    <font>
      <sz val="7"/>
      <color rgb="FF000000"/>
      <name val="Tahoma"/>
      <family val="2"/>
      <charset val="204"/>
    </font>
    <font>
      <i/>
      <sz val="7"/>
      <name val="Tahoma"/>
      <family val="2"/>
      <charset val="204"/>
    </font>
    <font>
      <b/>
      <i/>
      <sz val="7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vertAlign val="subscript"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7030A0"/>
      <name val="Tahoma"/>
      <family val="2"/>
      <charset val="204"/>
    </font>
    <font>
      <sz val="8"/>
      <color rgb="FF7030A0"/>
      <name val="Tahoma"/>
      <family val="2"/>
      <charset val="204"/>
    </font>
    <font>
      <b/>
      <sz val="11"/>
      <color rgb="FF7030A0"/>
      <name val="Tahoma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0000CC"/>
      <name val="Calibri"/>
      <family val="2"/>
      <charset val="204"/>
      <scheme val="minor"/>
    </font>
    <font>
      <b/>
      <i/>
      <sz val="11"/>
      <color rgb="FF0000CC"/>
      <name val="Calibri"/>
      <family val="2"/>
      <charset val="204"/>
      <scheme val="minor"/>
    </font>
    <font>
      <b/>
      <sz val="8"/>
      <color rgb="FF0000CC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i/>
      <sz val="8"/>
      <name val="Tahoma"/>
      <family val="2"/>
      <charset val="204"/>
    </font>
    <font>
      <sz val="8"/>
      <color indexed="48"/>
      <name val="Tahoma"/>
      <family val="2"/>
      <charset val="204"/>
    </font>
    <font>
      <sz val="8"/>
      <color indexed="42"/>
      <name val="Tahoma"/>
      <family val="2"/>
      <charset val="204"/>
    </font>
    <font>
      <sz val="8"/>
      <color indexed="18"/>
      <name val="Tahoma"/>
      <family val="2"/>
      <charset val="204"/>
    </font>
    <font>
      <sz val="8"/>
      <color indexed="10"/>
      <name val="Tahoma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b/>
      <sz val="11"/>
      <color rgb="FFC00000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CC"/>
      <name val="Calibri"/>
      <family val="2"/>
      <scheme val="minor"/>
    </font>
    <font>
      <sz val="11"/>
      <color rgb="FFCC00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sz val="8"/>
      <color rgb="FF0000CC"/>
      <name val="Calibri"/>
      <family val="2"/>
      <charset val="204"/>
      <scheme val="minor"/>
    </font>
    <font>
      <sz val="6"/>
      <name val="Tahoma"/>
      <family val="2"/>
      <charset val="204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7EAD3"/>
        <bgColor rgb="FF000000"/>
      </patternFill>
    </fill>
    <fill>
      <patternFill patternType="solid">
        <fgColor rgb="FFBCBCBC"/>
        <bgColor rgb="FF000000"/>
      </patternFill>
    </fill>
    <fill>
      <patternFill patternType="solid">
        <fgColor rgb="FFEAEBEE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FFFFC0"/>
        <bgColor rgb="FF000000"/>
      </patternFill>
    </fill>
    <fill>
      <patternFill patternType="solid">
        <fgColor rgb="FF808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0066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E3FAFD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gray125">
        <bgColor rgb="FFE5E5E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7DDFF"/>
        <bgColor indexed="64"/>
      </patternFill>
    </fill>
    <fill>
      <patternFill patternType="solid">
        <fgColor rgb="FFF7DD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858">
    <xf numFmtId="0" fontId="0" fillId="0" borderId="0"/>
    <xf numFmtId="43" fontId="1" fillId="0" borderId="0" applyFont="0" applyFill="0" applyBorder="0" applyAlignment="0" applyProtection="0"/>
    <xf numFmtId="49" fontId="11" fillId="0" borderId="0" applyBorder="0">
      <alignment vertical="top"/>
    </xf>
    <xf numFmtId="9" fontId="1" fillId="0" borderId="0" applyFont="0" applyFill="0" applyBorder="0" applyAlignment="0" applyProtection="0"/>
    <xf numFmtId="0" fontId="43" fillId="0" borderId="0"/>
    <xf numFmtId="169" fontId="43" fillId="0" borderId="0"/>
    <xf numFmtId="0" fontId="44" fillId="0" borderId="0"/>
    <xf numFmtId="0" fontId="45" fillId="0" borderId="0"/>
    <xf numFmtId="164" fontId="46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4" fontId="47" fillId="0" borderId="0">
      <alignment vertical="top"/>
    </xf>
    <xf numFmtId="170" fontId="47" fillId="55" borderId="0">
      <alignment vertical="top"/>
    </xf>
    <xf numFmtId="164" fontId="47" fillId="56" borderId="0">
      <alignment vertical="top"/>
    </xf>
    <xf numFmtId="164" fontId="46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1" fontId="48" fillId="0" borderId="0">
      <alignment indent="8" shrinkToFit="1" readingOrder="3"/>
    </xf>
    <xf numFmtId="40" fontId="49" fillId="0" borderId="0" applyFont="0" applyFill="0" applyBorder="0" applyAlignment="0" applyProtection="0"/>
    <xf numFmtId="0" fontId="50" fillId="0" borderId="0"/>
    <xf numFmtId="0" fontId="51" fillId="0" borderId="0"/>
    <xf numFmtId="0" fontId="44" fillId="0" borderId="0"/>
    <xf numFmtId="0" fontId="44" fillId="0" borderId="0"/>
    <xf numFmtId="0" fontId="43" fillId="0" borderId="0"/>
    <xf numFmtId="0" fontId="43" fillId="0" borderId="0" applyFont="0" applyBorder="0" applyAlignment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3" fontId="45" fillId="57" borderId="27">
      <alignment wrapText="1"/>
      <protection locked="0"/>
    </xf>
    <xf numFmtId="173" fontId="45" fillId="57" borderId="27">
      <alignment wrapText="1"/>
      <protection locked="0"/>
    </xf>
    <xf numFmtId="173" fontId="45" fillId="57" borderId="27">
      <alignment wrapText="1"/>
      <protection locked="0"/>
    </xf>
    <xf numFmtId="173" fontId="45" fillId="57" borderId="27">
      <alignment wrapText="1"/>
      <protection locked="0"/>
    </xf>
    <xf numFmtId="173" fontId="45" fillId="57" borderId="27">
      <alignment wrapText="1"/>
      <protection locked="0"/>
    </xf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169" fontId="44" fillId="0" borderId="0"/>
    <xf numFmtId="0" fontId="44" fillId="0" borderId="0"/>
    <xf numFmtId="169" fontId="44" fillId="0" borderId="0"/>
    <xf numFmtId="0" fontId="44" fillId="0" borderId="0"/>
    <xf numFmtId="169" fontId="44" fillId="0" borderId="0"/>
    <xf numFmtId="0" fontId="44" fillId="0" borderId="0"/>
    <xf numFmtId="169" fontId="44" fillId="0" borderId="0"/>
    <xf numFmtId="0" fontId="44" fillId="0" borderId="0"/>
    <xf numFmtId="0" fontId="52" fillId="0" borderId="0"/>
    <xf numFmtId="0" fontId="43" fillId="0" borderId="0"/>
    <xf numFmtId="169" fontId="43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5" fillId="0" borderId="0" applyNumberFormat="0" applyFill="0" applyBorder="0" applyAlignment="0" applyProtection="0"/>
    <xf numFmtId="0" fontId="44" fillId="0" borderId="0"/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3" fillId="0" borderId="0"/>
    <xf numFmtId="169" fontId="43" fillId="0" borderId="0"/>
    <xf numFmtId="0" fontId="43" fillId="0" borderId="0"/>
    <xf numFmtId="169" fontId="43" fillId="0" borderId="0"/>
    <xf numFmtId="0" fontId="43" fillId="0" borderId="0"/>
    <xf numFmtId="0" fontId="44" fillId="0" borderId="0"/>
    <xf numFmtId="169" fontId="44" fillId="0" borderId="0"/>
    <xf numFmtId="0" fontId="44" fillId="0" borderId="0"/>
    <xf numFmtId="169" fontId="44" fillId="0" borderId="0"/>
    <xf numFmtId="0" fontId="44" fillId="0" borderId="0"/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4" fillId="0" borderId="0"/>
    <xf numFmtId="169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169" fontId="44" fillId="0" borderId="0"/>
    <xf numFmtId="0" fontId="43" fillId="0" borderId="0"/>
    <xf numFmtId="0" fontId="45" fillId="0" borderId="0"/>
    <xf numFmtId="0" fontId="44" fillId="0" borderId="0"/>
    <xf numFmtId="169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172" fontId="46" fillId="0" borderId="0">
      <alignment vertical="top"/>
    </xf>
    <xf numFmtId="172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4" fillId="0" borderId="0"/>
    <xf numFmtId="0" fontId="44" fillId="0" borderId="0"/>
    <xf numFmtId="169" fontId="44" fillId="0" borderId="0"/>
    <xf numFmtId="0" fontId="44" fillId="0" borderId="0"/>
    <xf numFmtId="0" fontId="53" fillId="0" borderId="0">
      <alignment vertical="center"/>
    </xf>
    <xf numFmtId="0" fontId="43" fillId="0" borderId="0"/>
    <xf numFmtId="169" fontId="43" fillId="0" borderId="0"/>
    <xf numFmtId="0" fontId="43" fillId="0" borderId="0"/>
    <xf numFmtId="169" fontId="43" fillId="0" borderId="0"/>
    <xf numFmtId="0" fontId="44" fillId="0" borderId="0"/>
    <xf numFmtId="169" fontId="44" fillId="0" borderId="0"/>
    <xf numFmtId="0" fontId="43" fillId="0" borderId="0"/>
    <xf numFmtId="169" fontId="43" fillId="0" borderId="0"/>
    <xf numFmtId="0" fontId="43" fillId="0" borderId="0"/>
    <xf numFmtId="169" fontId="4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51" fillId="0" borderId="0"/>
    <xf numFmtId="0" fontId="43" fillId="0" borderId="0"/>
    <xf numFmtId="0" fontId="44" fillId="0" borderId="0"/>
    <xf numFmtId="169" fontId="44" fillId="0" borderId="0"/>
    <xf numFmtId="174" fontId="51" fillId="0" borderId="0" applyFont="0" applyFill="0" applyBorder="0" applyAlignment="0" applyProtection="0"/>
    <xf numFmtId="175" fontId="54" fillId="0" borderId="0">
      <protection locked="0"/>
    </xf>
    <xf numFmtId="176" fontId="54" fillId="0" borderId="0">
      <protection locked="0"/>
    </xf>
    <xf numFmtId="175" fontId="54" fillId="0" borderId="0">
      <protection locked="0"/>
    </xf>
    <xf numFmtId="0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0" fontId="54" fillId="0" borderId="0">
      <protection locked="0"/>
    </xf>
    <xf numFmtId="176" fontId="54" fillId="0" borderId="0">
      <protection locked="0"/>
    </xf>
    <xf numFmtId="0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0" fontId="54" fillId="0" borderId="0">
      <protection locked="0"/>
    </xf>
    <xf numFmtId="178" fontId="54" fillId="0" borderId="0">
      <protection locked="0"/>
    </xf>
    <xf numFmtId="0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177" fontId="54" fillId="0" borderId="0">
      <protection locked="0"/>
    </xf>
    <xf numFmtId="0" fontId="54" fillId="0" borderId="0">
      <protection locked="0"/>
    </xf>
    <xf numFmtId="179" fontId="54" fillId="0" borderId="0">
      <protection locked="0"/>
    </xf>
    <xf numFmtId="180" fontId="54" fillId="0" borderId="31">
      <protection locked="0"/>
    </xf>
    <xf numFmtId="180" fontId="54" fillId="0" borderId="31">
      <protection locked="0"/>
    </xf>
    <xf numFmtId="180" fontId="54" fillId="0" borderId="31">
      <protection locked="0"/>
    </xf>
    <xf numFmtId="180" fontId="55" fillId="0" borderId="0">
      <protection locked="0"/>
    </xf>
    <xf numFmtId="180" fontId="55" fillId="0" borderId="0">
      <protection locked="0"/>
    </xf>
    <xf numFmtId="180" fontId="54" fillId="0" borderId="31">
      <protection locked="0"/>
    </xf>
    <xf numFmtId="180" fontId="54" fillId="0" borderId="31">
      <protection locked="0"/>
    </xf>
    <xf numFmtId="180" fontId="54" fillId="0" borderId="31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81" fontId="56" fillId="0" borderId="0">
      <alignment horizontal="center"/>
    </xf>
    <xf numFmtId="0" fontId="57" fillId="58" borderId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9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9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9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9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9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9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5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9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9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9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9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9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9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182" fontId="60" fillId="67" borderId="32">
      <alignment horizontal="center" vertical="center"/>
      <protection locked="0"/>
    </xf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9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9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9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9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9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9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9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9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9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9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61" fillId="74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7" borderId="0" applyNumberFormat="0" applyBorder="0" applyAlignment="0" applyProtection="0"/>
    <xf numFmtId="0" fontId="61" fillId="68" borderId="0" applyNumberFormat="0" applyBorder="0" applyAlignment="0" applyProtection="0"/>
    <xf numFmtId="0" fontId="61" fillId="74" borderId="0" applyNumberFormat="0" applyBorder="0" applyAlignment="0" applyProtection="0"/>
    <xf numFmtId="0" fontId="62" fillId="12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64" borderId="0" applyNumberFormat="0" applyBorder="0" applyAlignment="0" applyProtection="0"/>
    <xf numFmtId="0" fontId="61" fillId="69" borderId="0" applyNumberFormat="0" applyBorder="0" applyAlignment="0" applyProtection="0"/>
    <xf numFmtId="0" fontId="62" fillId="16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2" borderId="0" applyNumberFormat="0" applyBorder="0" applyAlignment="0" applyProtection="0"/>
    <xf numFmtId="0" fontId="61" fillId="70" borderId="0" applyNumberFormat="0" applyBorder="0" applyAlignment="0" applyProtection="0"/>
    <xf numFmtId="0" fontId="62" fillId="2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3" borderId="0" applyNumberFormat="0" applyBorder="0" applyAlignment="0" applyProtection="0"/>
    <xf numFmtId="0" fontId="61" fillId="75" borderId="0" applyNumberFormat="0" applyBorder="0" applyAlignment="0" applyProtection="0"/>
    <xf numFmtId="0" fontId="62" fillId="24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2" fillId="28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8" borderId="0" applyNumberFormat="0" applyBorder="0" applyAlignment="0" applyProtection="0"/>
    <xf numFmtId="0" fontId="61" fillId="77" borderId="0" applyNumberFormat="0" applyBorder="0" applyAlignment="0" applyProtection="0"/>
    <xf numFmtId="0" fontId="62" fillId="32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183" fontId="63" fillId="0" borderId="0" applyFont="0" applyFill="0" applyBorder="0">
      <alignment horizontal="center"/>
    </xf>
    <xf numFmtId="0" fontId="64" fillId="0" borderId="0">
      <alignment horizontal="right"/>
    </xf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61" fillId="79" borderId="0" applyNumberFormat="0" applyBorder="0" applyAlignment="0" applyProtection="0"/>
    <xf numFmtId="0" fontId="65" fillId="80" borderId="0" applyNumberFormat="0" applyBorder="0" applyAlignment="0" applyProtection="0"/>
    <xf numFmtId="0" fontId="65" fillId="81" borderId="0" applyNumberFormat="0" applyBorder="0" applyAlignment="0" applyProtection="0"/>
    <xf numFmtId="0" fontId="66" fillId="82" borderId="0" applyNumberFormat="0" applyBorder="0" applyAlignment="0" applyProtection="0"/>
    <xf numFmtId="0" fontId="61" fillId="83" borderId="0" applyNumberFormat="0" applyBorder="0" applyAlignment="0" applyProtection="0"/>
    <xf numFmtId="0" fontId="65" fillId="84" borderId="0" applyNumberFormat="0" applyBorder="0" applyAlignment="0" applyProtection="0"/>
    <xf numFmtId="0" fontId="65" fillId="85" borderId="0" applyNumberFormat="0" applyBorder="0" applyAlignment="0" applyProtection="0"/>
    <xf numFmtId="0" fontId="66" fillId="86" borderId="0" applyNumberFormat="0" applyBorder="0" applyAlignment="0" applyProtection="0"/>
    <xf numFmtId="0" fontId="61" fillId="78" borderId="0" applyNumberFormat="0" applyBorder="0" applyAlignment="0" applyProtection="0"/>
    <xf numFmtId="0" fontId="65" fillId="87" borderId="0" applyNumberFormat="0" applyBorder="0" applyAlignment="0" applyProtection="0"/>
    <xf numFmtId="0" fontId="65" fillId="88" borderId="0" applyNumberFormat="0" applyBorder="0" applyAlignment="0" applyProtection="0"/>
    <xf numFmtId="0" fontId="66" fillId="89" borderId="0" applyNumberFormat="0" applyBorder="0" applyAlignment="0" applyProtection="0"/>
    <xf numFmtId="0" fontId="66" fillId="90" borderId="0" applyNumberFormat="0" applyBorder="0" applyAlignment="0" applyProtection="0"/>
    <xf numFmtId="0" fontId="61" fillId="75" borderId="0" applyNumberFormat="0" applyBorder="0" applyAlignment="0" applyProtection="0"/>
    <xf numFmtId="0" fontId="65" fillId="88" borderId="0" applyNumberFormat="0" applyBorder="0" applyAlignment="0" applyProtection="0"/>
    <xf numFmtId="0" fontId="65" fillId="89" borderId="0" applyNumberFormat="0" applyBorder="0" applyAlignment="0" applyProtection="0"/>
    <xf numFmtId="0" fontId="66" fillId="89" borderId="0" applyNumberFormat="0" applyBorder="0" applyAlignment="0" applyProtection="0"/>
    <xf numFmtId="0" fontId="66" fillId="91" borderId="0" applyNumberFormat="0" applyBorder="0" applyAlignment="0" applyProtection="0"/>
    <xf numFmtId="0" fontId="61" fillId="76" borderId="0" applyNumberFormat="0" applyBorder="0" applyAlignment="0" applyProtection="0"/>
    <xf numFmtId="0" fontId="65" fillId="80" borderId="0" applyNumberFormat="0" applyBorder="0" applyAlignment="0" applyProtection="0"/>
    <xf numFmtId="0" fontId="65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92" borderId="0" applyNumberFormat="0" applyBorder="0" applyAlignment="0" applyProtection="0"/>
    <xf numFmtId="0" fontId="61" fillId="93" borderId="0" applyNumberFormat="0" applyBorder="0" applyAlignment="0" applyProtection="0"/>
    <xf numFmtId="0" fontId="65" fillId="94" borderId="0" applyNumberFormat="0" applyBorder="0" applyAlignment="0" applyProtection="0"/>
    <xf numFmtId="0" fontId="65" fillId="85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2" fillId="0" borderId="0"/>
    <xf numFmtId="186" fontId="69" fillId="0" borderId="33">
      <protection locked="0"/>
    </xf>
    <xf numFmtId="186" fontId="69" fillId="0" borderId="33">
      <protection locked="0"/>
    </xf>
    <xf numFmtId="186" fontId="69" fillId="0" borderId="33">
      <protection locked="0"/>
    </xf>
    <xf numFmtId="186" fontId="69" fillId="0" borderId="33">
      <protection locked="0"/>
    </xf>
    <xf numFmtId="0" fontId="70" fillId="0" borderId="15">
      <alignment horizontal="center" vertical="center" wrapText="1"/>
    </xf>
    <xf numFmtId="187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6" fillId="0" borderId="0"/>
    <xf numFmtId="0" fontId="71" fillId="0" borderId="0"/>
    <xf numFmtId="0" fontId="72" fillId="60" borderId="0" applyNumberFormat="0" applyBorder="0" applyAlignment="0" applyProtection="0"/>
    <xf numFmtId="10" fontId="73" fillId="0" borderId="0" applyNumberFormat="0" applyFill="0" applyBorder="0" applyAlignment="0"/>
    <xf numFmtId="0" fontId="74" fillId="0" borderId="0"/>
    <xf numFmtId="0" fontId="75" fillId="0" borderId="0" applyFill="0" applyBorder="0" applyAlignment="0"/>
    <xf numFmtId="0" fontId="76" fillId="72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7" fillId="97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8" fillId="0" borderId="34" applyNumberFormat="0" applyAlignment="0">
      <protection locked="0"/>
    </xf>
    <xf numFmtId="0" fontId="78" fillId="0" borderId="34" applyNumberFormat="0" applyAlignment="0">
      <protection locked="0"/>
    </xf>
    <xf numFmtId="0" fontId="78" fillId="0" borderId="34" applyNumberFormat="0" applyAlignment="0">
      <protection locked="0"/>
    </xf>
    <xf numFmtId="0" fontId="78" fillId="0" borderId="34" applyNumberFormat="0" applyAlignment="0">
      <protection locked="0"/>
    </xf>
    <xf numFmtId="0" fontId="79" fillId="98" borderId="35" applyNumberFormat="0" applyAlignment="0" applyProtection="0"/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0" fontId="80" fillId="0" borderId="15">
      <alignment horizontal="left" vertical="center"/>
    </xf>
    <xf numFmtId="189" fontId="45" fillId="0" borderId="36" applyFont="0" applyFill="0" applyBorder="0" applyProtection="0">
      <alignment horizontal="center"/>
      <protection locked="0"/>
    </xf>
    <xf numFmtId="0" fontId="54" fillId="0" borderId="0">
      <protection locked="0"/>
    </xf>
    <xf numFmtId="190" fontId="5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3" fontId="4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3" fillId="0" borderId="0" applyFont="0" applyFill="0" applyBorder="0" applyAlignment="0" applyProtection="0"/>
    <xf numFmtId="194" fontId="51" fillId="0" borderId="0" applyFont="0" applyFill="0" applyBorder="0" applyAlignment="0" applyProtection="0"/>
    <xf numFmtId="3" fontId="84" fillId="0" borderId="0" applyFont="0" applyFill="0" applyBorder="0" applyAlignment="0" applyProtection="0"/>
    <xf numFmtId="195" fontId="85" fillId="0" borderId="0"/>
    <xf numFmtId="196" fontId="85" fillId="0" borderId="0"/>
    <xf numFmtId="197" fontId="85" fillId="0" borderId="0"/>
    <xf numFmtId="186" fontId="86" fillId="99" borderId="33"/>
    <xf numFmtId="186" fontId="86" fillId="99" borderId="33"/>
    <xf numFmtId="186" fontId="86" fillId="99" borderId="33"/>
    <xf numFmtId="186" fontId="86" fillId="99" borderId="33"/>
    <xf numFmtId="0" fontId="54" fillId="0" borderId="0">
      <protection locked="0"/>
    </xf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37" fontId="87" fillId="0" borderId="37" applyFont="0" applyFill="0" applyBorder="0"/>
    <xf numFmtId="37" fontId="88" fillId="0" borderId="37" applyFont="0" applyFill="0" applyBorder="0">
      <protection locked="0"/>
    </xf>
    <xf numFmtId="37" fontId="89" fillId="55" borderId="15" applyFill="0" applyBorder="0" applyProtection="0"/>
    <xf numFmtId="37" fontId="89" fillId="55" borderId="15" applyFill="0" applyBorder="0" applyProtection="0"/>
    <xf numFmtId="37" fontId="89" fillId="55" borderId="15" applyFill="0" applyBorder="0" applyProtection="0"/>
    <xf numFmtId="37" fontId="88" fillId="0" borderId="37" applyFill="0" applyBorder="0">
      <protection locked="0"/>
    </xf>
    <xf numFmtId="200" fontId="51" fillId="0" borderId="0" applyFont="0" applyFill="0" applyBorder="0" applyAlignment="0" applyProtection="0"/>
    <xf numFmtId="201" fontId="84" fillId="0" borderId="0" applyFont="0" applyFill="0" applyBorder="0" applyAlignment="0" applyProtection="0"/>
    <xf numFmtId="0" fontId="81" fillId="0" borderId="0" applyFill="0" applyBorder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84" fillId="0" borderId="0" applyFont="0" applyFill="0" applyBorder="0" applyAlignment="0" applyProtection="0"/>
    <xf numFmtId="0" fontId="81" fillId="0" borderId="0" applyFont="0" applyFill="0" applyBorder="0" applyAlignment="0" applyProtection="0"/>
    <xf numFmtId="15" fontId="90" fillId="0" borderId="38" applyFont="0" applyFill="0" applyBorder="0" applyAlignment="0">
      <alignment horizontal="centerContinuous"/>
    </xf>
    <xf numFmtId="202" fontId="90" fillId="0" borderId="38" applyFont="0" applyFill="0" applyBorder="0" applyAlignment="0">
      <alignment horizontal="centerContinuous"/>
    </xf>
    <xf numFmtId="14" fontId="91" fillId="0" borderId="0">
      <alignment vertical="top"/>
    </xf>
    <xf numFmtId="203" fontId="45" fillId="0" borderId="0" applyFont="0" applyFill="0" applyBorder="0" applyAlignment="0" applyProtection="0"/>
    <xf numFmtId="204" fontId="45" fillId="0" borderId="0" applyFont="0" applyFill="0" applyBorder="0" applyAlignment="0" applyProtection="0"/>
    <xf numFmtId="0" fontId="81" fillId="0" borderId="39" applyNumberFormat="0" applyFont="0" applyFill="0" applyAlignment="0" applyProtection="0"/>
    <xf numFmtId="205" fontId="58" fillId="0" borderId="0" applyFill="0" applyBorder="0" applyAlignment="0" applyProtection="0"/>
    <xf numFmtId="0" fontId="92" fillId="0" borderId="0" applyNumberFormat="0" applyFill="0" applyBorder="0" applyAlignment="0" applyProtection="0"/>
    <xf numFmtId="172" fontId="93" fillId="0" borderId="0">
      <alignment vertical="top"/>
    </xf>
    <xf numFmtId="172" fontId="93" fillId="0" borderId="0">
      <alignment vertical="top"/>
    </xf>
    <xf numFmtId="38" fontId="93" fillId="0" borderId="0">
      <alignment vertical="top"/>
    </xf>
    <xf numFmtId="0" fontId="94" fillId="100" borderId="0" applyNumberFormat="0" applyBorder="0" applyAlignment="0" applyProtection="0"/>
    <xf numFmtId="0" fontId="94" fillId="101" borderId="0" applyNumberFormat="0" applyBorder="0" applyAlignment="0" applyProtection="0"/>
    <xf numFmtId="0" fontId="94" fillId="102" borderId="0" applyNumberFormat="0" applyBorder="0" applyAlignment="0" applyProtection="0"/>
    <xf numFmtId="169" fontId="51" fillId="0" borderId="0" applyFont="0" applyFill="0" applyBorder="0" applyAlignment="0" applyProtection="0"/>
    <xf numFmtId="37" fontId="45" fillId="0" borderId="0"/>
    <xf numFmtId="206" fontId="65" fillId="0" borderId="0"/>
    <xf numFmtId="0" fontId="58" fillId="0" borderId="0"/>
    <xf numFmtId="0" fontId="95" fillId="0" borderId="0"/>
    <xf numFmtId="206" fontId="58" fillId="0" borderId="0"/>
    <xf numFmtId="0" fontId="58" fillId="0" borderId="0"/>
    <xf numFmtId="0" fontId="96" fillId="0" borderId="0"/>
    <xf numFmtId="0" fontId="96" fillId="0" borderId="0"/>
    <xf numFmtId="0" fontId="97" fillId="0" borderId="0"/>
    <xf numFmtId="0" fontId="97" fillId="0" borderId="0"/>
    <xf numFmtId="0" fontId="65" fillId="0" borderId="0"/>
    <xf numFmtId="0" fontId="96" fillId="0" borderId="0"/>
    <xf numFmtId="0" fontId="98" fillId="0" borderId="0"/>
    <xf numFmtId="207" fontId="99" fillId="0" borderId="0" applyBorder="0" applyProtection="0"/>
    <xf numFmtId="0" fontId="58" fillId="0" borderId="0"/>
    <xf numFmtId="9" fontId="65" fillId="0" borderId="0"/>
    <xf numFmtId="0" fontId="100" fillId="0" borderId="0" applyNumberFormat="0" applyFill="0" applyBorder="0" applyAlignment="0" applyProtection="0"/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1" fillId="0" borderId="40">
      <alignment horizontal="right" wrapText="1"/>
    </xf>
    <xf numFmtId="0" fontId="102" fillId="0" borderId="0">
      <alignment horizontal="left" vertical="top" wrapText="1"/>
    </xf>
    <xf numFmtId="168" fontId="103" fillId="0" borderId="0" applyFill="0" applyBorder="0" applyAlignment="0" applyProtection="0"/>
    <xf numFmtId="168" fontId="46" fillId="0" borderId="0" applyFill="0" applyBorder="0" applyAlignment="0" applyProtection="0"/>
    <xf numFmtId="168" fontId="104" fillId="0" borderId="0" applyFill="0" applyBorder="0" applyAlignment="0" applyProtection="0"/>
    <xf numFmtId="168" fontId="105" fillId="0" borderId="0" applyFill="0" applyBorder="0" applyAlignment="0" applyProtection="0"/>
    <xf numFmtId="168" fontId="106" fillId="0" borderId="0" applyFill="0" applyBorder="0" applyAlignment="0" applyProtection="0"/>
    <xf numFmtId="168" fontId="107" fillId="0" borderId="0" applyFill="0" applyBorder="0" applyAlignment="0" applyProtection="0"/>
    <xf numFmtId="168" fontId="108" fillId="0" borderId="0" applyFill="0" applyBorder="0" applyAlignment="0" applyProtection="0"/>
    <xf numFmtId="2" fontId="84" fillId="0" borderId="0" applyFont="0" applyFill="0" applyBorder="0" applyAlignment="0" applyProtection="0"/>
    <xf numFmtId="0" fontId="5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Fill="0" applyBorder="0" applyProtection="0">
      <alignment horizontal="left"/>
    </xf>
    <xf numFmtId="0" fontId="111" fillId="61" borderId="0" applyNumberForma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164" fontId="112" fillId="56" borderId="15" applyNumberFormat="0" applyFont="0" applyBorder="0" applyAlignment="0" applyProtection="0"/>
    <xf numFmtId="0" fontId="81" fillId="0" borderId="0" applyFont="0" applyFill="0" applyBorder="0" applyAlignment="0" applyProtection="0">
      <alignment horizontal="right"/>
    </xf>
    <xf numFmtId="208" fontId="113" fillId="56" borderId="0" applyNumberFormat="0" applyFont="0" applyAlignment="0"/>
    <xf numFmtId="0" fontId="114" fillId="0" borderId="0" applyProtection="0">
      <alignment horizontal="right"/>
    </xf>
    <xf numFmtId="0" fontId="78" fillId="72" borderId="34" applyNumberFormat="0" applyAlignment="0"/>
    <xf numFmtId="0" fontId="78" fillId="72" borderId="34" applyNumberFormat="0" applyAlignment="0"/>
    <xf numFmtId="0" fontId="78" fillId="72" borderId="34" applyNumberFormat="0" applyAlignment="0"/>
    <xf numFmtId="0" fontId="78" fillId="72" borderId="34" applyNumberFormat="0" applyAlignment="0"/>
    <xf numFmtId="0" fontId="115" fillId="0" borderId="41" applyNumberFormat="0" applyAlignment="0" applyProtection="0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5" fillId="0" borderId="29">
      <alignment horizontal="left" vertical="center"/>
    </xf>
    <xf numFmtId="0" fontId="116" fillId="0" borderId="0">
      <alignment vertical="top"/>
    </xf>
    <xf numFmtId="0" fontId="117" fillId="0" borderId="42" applyNumberFormat="0" applyFill="0" applyAlignment="0" applyProtection="0"/>
    <xf numFmtId="0" fontId="118" fillId="0" borderId="43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0" applyNumberFormat="0" applyFill="0" applyBorder="0" applyAlignment="0" applyProtection="0"/>
    <xf numFmtId="2" fontId="120" fillId="103" borderId="0" applyAlignment="0">
      <alignment horizontal="right"/>
      <protection locked="0"/>
    </xf>
    <xf numFmtId="0" fontId="55" fillId="0" borderId="0">
      <protection locked="0"/>
    </xf>
    <xf numFmtId="172" fontId="121" fillId="0" borderId="0">
      <alignment vertical="top"/>
    </xf>
    <xf numFmtId="172" fontId="121" fillId="0" borderId="0">
      <alignment vertical="top"/>
    </xf>
    <xf numFmtId="38" fontId="121" fillId="0" borderId="0">
      <alignment vertical="top"/>
    </xf>
    <xf numFmtId="0" fontId="68" fillId="0" borderId="0" applyNumberFormat="0" applyFill="0" applyBorder="0" applyAlignment="0" applyProtection="0">
      <alignment vertical="top"/>
      <protection locked="0"/>
    </xf>
    <xf numFmtId="0" fontId="57" fillId="0" borderId="0"/>
    <xf numFmtId="186" fontId="122" fillId="0" borderId="0"/>
    <xf numFmtId="0" fontId="45" fillId="0" borderId="0"/>
    <xf numFmtId="0" fontId="123" fillId="0" borderId="0" applyNumberFormat="0" applyFill="0" applyBorder="0" applyAlignment="0" applyProtection="0">
      <alignment vertical="top"/>
      <protection locked="0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209" fontId="124" fillId="0" borderId="15">
      <alignment horizontal="center" vertical="center" wrapText="1"/>
    </xf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6" fillId="0" borderId="0" applyFill="0" applyBorder="0" applyProtection="0">
      <alignment vertical="center"/>
    </xf>
    <xf numFmtId="0" fontId="126" fillId="0" borderId="0" applyFill="0" applyBorder="0" applyProtection="0">
      <alignment vertical="center"/>
    </xf>
    <xf numFmtId="0" fontId="126" fillId="0" borderId="0" applyFill="0" applyBorder="0" applyProtection="0">
      <alignment vertical="center"/>
    </xf>
    <xf numFmtId="0" fontId="126" fillId="0" borderId="0" applyFill="0" applyBorder="0" applyProtection="0">
      <alignment vertical="center"/>
    </xf>
    <xf numFmtId="172" fontId="47" fillId="0" borderId="0">
      <alignment vertical="top"/>
    </xf>
    <xf numFmtId="172" fontId="47" fillId="55" borderId="0">
      <alignment vertical="top"/>
    </xf>
    <xf numFmtId="172" fontId="47" fillId="55" borderId="0">
      <alignment vertical="top"/>
    </xf>
    <xf numFmtId="38" fontId="47" fillId="55" borderId="0">
      <alignment vertical="top"/>
    </xf>
    <xf numFmtId="172" fontId="47" fillId="0" borderId="0">
      <alignment vertical="top"/>
    </xf>
    <xf numFmtId="172" fontId="47" fillId="0" borderId="0">
      <alignment vertical="top"/>
    </xf>
    <xf numFmtId="210" fontId="47" fillId="56" borderId="0">
      <alignment vertical="top"/>
    </xf>
    <xf numFmtId="38" fontId="47" fillId="0" borderId="0">
      <alignment vertical="top"/>
    </xf>
    <xf numFmtId="0" fontId="109" fillId="0" borderId="0" applyNumberFormat="0" applyFill="0" applyBorder="0" applyAlignment="0" applyProtection="0">
      <alignment vertical="top"/>
      <protection locked="0"/>
    </xf>
    <xf numFmtId="0" fontId="127" fillId="0" borderId="0">
      <alignment vertical="center"/>
    </xf>
    <xf numFmtId="0" fontId="128" fillId="104" borderId="45">
      <alignment horizontal="left" vertical="center" wrapText="1"/>
    </xf>
    <xf numFmtId="209" fontId="129" fillId="0" borderId="15">
      <alignment horizontal="right" vertical="center" wrapText="1"/>
    </xf>
    <xf numFmtId="0" fontId="130" fillId="55" borderId="0"/>
    <xf numFmtId="211" fontId="45" fillId="105" borderId="15">
      <alignment vertical="center"/>
    </xf>
    <xf numFmtId="0" fontId="131" fillId="0" borderId="46" applyNumberFormat="0" applyFill="0" applyAlignment="0" applyProtection="0"/>
    <xf numFmtId="203" fontId="132" fillId="0" borderId="0" applyFont="0" applyFill="0" applyBorder="0" applyAlignment="0" applyProtection="0"/>
    <xf numFmtId="204" fontId="132" fillId="0" borderId="0" applyFont="0" applyFill="0" applyBorder="0" applyAlignment="0" applyProtection="0"/>
    <xf numFmtId="203" fontId="132" fillId="0" borderId="0" applyFont="0" applyFill="0" applyBorder="0" applyAlignment="0" applyProtection="0"/>
    <xf numFmtId="191" fontId="51" fillId="0" borderId="0" applyFont="0" applyFill="0" applyBorder="0" applyAlignment="0" applyProtection="0"/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2" fontId="133" fillId="0" borderId="15">
      <alignment horizontal="right"/>
      <protection locked="0"/>
    </xf>
    <xf numFmtId="213" fontId="132" fillId="0" borderId="0" applyFont="0" applyFill="0" applyBorder="0" applyAlignment="0" applyProtection="0"/>
    <xf numFmtId="214" fontId="132" fillId="0" borderId="0" applyFont="0" applyFill="0" applyBorder="0" applyAlignment="0" applyProtection="0"/>
    <xf numFmtId="213" fontId="132" fillId="0" borderId="0" applyFont="0" applyFill="0" applyBorder="0" applyAlignment="0" applyProtection="0"/>
    <xf numFmtId="214" fontId="132" fillId="0" borderId="0" applyFont="0" applyFill="0" applyBorder="0" applyAlignment="0" applyProtection="0"/>
    <xf numFmtId="215" fontId="45" fillId="0" borderId="0" applyFont="0" applyFill="0" applyBorder="0" applyAlignment="0" applyProtection="0"/>
    <xf numFmtId="193" fontId="45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ill="0" applyBorder="0" applyProtection="0">
      <alignment vertical="center"/>
    </xf>
    <xf numFmtId="0" fontId="81" fillId="0" borderId="0" applyFont="0" applyFill="0" applyBorder="0" applyAlignment="0" applyProtection="0">
      <alignment horizontal="right"/>
    </xf>
    <xf numFmtId="216" fontId="134" fillId="0" borderId="0" applyProtection="0">
      <alignment horizontal="justify" vertical="top"/>
      <protection locked="0"/>
    </xf>
    <xf numFmtId="3" fontId="51" fillId="0" borderId="47" applyFont="0" applyBorder="0">
      <alignment horizontal="center" vertical="center"/>
    </xf>
    <xf numFmtId="3" fontId="51" fillId="0" borderId="47" applyFont="0" applyBorder="0">
      <alignment horizontal="center" vertical="center"/>
    </xf>
    <xf numFmtId="3" fontId="51" fillId="0" borderId="47" applyFont="0" applyBorder="0">
      <alignment horizontal="center" vertical="center"/>
    </xf>
    <xf numFmtId="3" fontId="51" fillId="0" borderId="47" applyFont="0" applyBorder="0">
      <alignment horizontal="center" vertical="center"/>
    </xf>
    <xf numFmtId="0" fontId="135" fillId="73" borderId="0" applyNumberFormat="0" applyBorder="0" applyAlignment="0" applyProtection="0"/>
    <xf numFmtId="0" fontId="57" fillId="0" borderId="45"/>
    <xf numFmtId="0" fontId="136" fillId="0" borderId="0" applyNumberFormat="0" applyFill="0" applyBorder="0" applyAlignment="0" applyProtection="0"/>
    <xf numFmtId="217" fontId="51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18" fontId="137" fillId="0" borderId="0"/>
    <xf numFmtId="0" fontId="136" fillId="0" borderId="0" applyNumberFormat="0" applyFill="0" applyBorder="0" applyAlignment="0" applyProtection="0"/>
    <xf numFmtId="218" fontId="137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1" fillId="0" borderId="0"/>
    <xf numFmtId="0" fontId="51" fillId="0" borderId="0"/>
    <xf numFmtId="0" fontId="82" fillId="0" borderId="0"/>
    <xf numFmtId="0" fontId="82" fillId="0" borderId="0"/>
    <xf numFmtId="0" fontId="82" fillId="0" borderId="0"/>
    <xf numFmtId="0" fontId="51" fillId="0" borderId="0"/>
    <xf numFmtId="0" fontId="51" fillId="0" borderId="0"/>
    <xf numFmtId="0" fontId="51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6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3" fillId="0" borderId="0"/>
    <xf numFmtId="0" fontId="136" fillId="0" borderId="0" applyNumberFormat="0" applyFill="0" applyBorder="0" applyAlignment="0" applyProtection="0"/>
    <xf numFmtId="0" fontId="82" fillId="0" borderId="0"/>
    <xf numFmtId="0" fontId="136" fillId="0" borderId="0" applyNumberFormat="0" applyFill="0" applyBorder="0" applyAlignment="0" applyProtection="0"/>
    <xf numFmtId="0" fontId="82" fillId="0" borderId="0"/>
    <xf numFmtId="0" fontId="136" fillId="0" borderId="0" applyNumberFormat="0" applyFill="0" applyBorder="0" applyAlignment="0" applyProtection="0"/>
    <xf numFmtId="0" fontId="82" fillId="0" borderId="0"/>
    <xf numFmtId="0" fontId="138" fillId="0" borderId="0">
      <alignment horizontal="right"/>
    </xf>
    <xf numFmtId="0" fontId="51" fillId="0" borderId="0"/>
    <xf numFmtId="0" fontId="64" fillId="0" borderId="0"/>
    <xf numFmtId="0" fontId="81" fillId="0" borderId="0" applyFill="0" applyBorder="0" applyProtection="0">
      <alignment vertical="center"/>
    </xf>
    <xf numFmtId="0" fontId="139" fillId="0" borderId="0"/>
    <xf numFmtId="219" fontId="140" fillId="0" borderId="0"/>
    <xf numFmtId="0" fontId="140" fillId="0" borderId="0"/>
    <xf numFmtId="0" fontId="140" fillId="0" borderId="0"/>
    <xf numFmtId="0" fontId="140" fillId="0" borderId="0"/>
    <xf numFmtId="0" fontId="45" fillId="0" borderId="0"/>
    <xf numFmtId="0" fontId="140" fillId="0" borderId="0"/>
    <xf numFmtId="0" fontId="45" fillId="0" borderId="0"/>
    <xf numFmtId="0" fontId="43" fillId="0" borderId="0"/>
    <xf numFmtId="0" fontId="11" fillId="66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11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11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11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11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58" fillId="66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45" fillId="94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0" fontId="11" fillId="66" borderId="48" applyNumberFormat="0" applyFont="0" applyAlignment="0" applyProtection="0"/>
    <xf numFmtId="220" fontId="51" fillId="0" borderId="0" applyFont="0" applyAlignment="0">
      <alignment horizontal="center"/>
    </xf>
    <xf numFmtId="9" fontId="141" fillId="0" borderId="0" applyFont="0" applyFill="0" applyBorder="0" applyAlignment="0" applyProtection="0"/>
    <xf numFmtId="221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172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12" fillId="0" borderId="0"/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224" fontId="142" fillId="0" borderId="15">
      <alignment horizontal="right" vertical="center" wrapText="1"/>
    </xf>
    <xf numFmtId="172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0" fontId="143" fillId="72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4" fillId="97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5" fillId="0" borderId="0"/>
    <xf numFmtId="1" fontId="146" fillId="0" borderId="0" applyProtection="0">
      <alignment horizontal="right" vertical="center"/>
    </xf>
    <xf numFmtId="49" fontId="147" fillId="0" borderId="28" applyFill="0" applyProtection="0">
      <alignment vertical="center"/>
    </xf>
    <xf numFmtId="0" fontId="54" fillId="0" borderId="0">
      <protection locked="0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1" fillId="0" borderId="0" applyFill="0" applyBorder="0" applyProtection="0">
      <alignment vertical="center"/>
    </xf>
    <xf numFmtId="0" fontId="112" fillId="0" borderId="0">
      <protection locked="0"/>
    </xf>
    <xf numFmtId="37" fontId="149" fillId="57" borderId="50"/>
    <xf numFmtId="37" fontId="149" fillId="57" borderId="50"/>
    <xf numFmtId="0" fontId="150" fillId="0" borderId="0" applyNumberFormat="0">
      <alignment horizontal="left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227" fontId="151" fillId="0" borderId="51" applyBorder="0">
      <alignment horizontal="right"/>
      <protection locked="0"/>
    </xf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0" fontId="45" fillId="55" borderId="52" applyNumberFormat="0" applyFont="0" applyFill="0" applyBorder="0" applyAlignment="0" applyProtection="0"/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49" fontId="152" fillId="0" borderId="15" applyNumberFormat="0">
      <alignment horizontal="left" vertical="center"/>
    </xf>
    <xf numFmtId="0" fontId="145" fillId="0" borderId="0"/>
    <xf numFmtId="211" fontId="153" fillId="105" borderId="15">
      <alignment horizontal="center" vertical="center" wrapText="1"/>
      <protection locked="0"/>
    </xf>
    <xf numFmtId="211" fontId="153" fillId="105" borderId="15">
      <alignment horizontal="center" vertical="center" wrapText="1"/>
      <protection locked="0"/>
    </xf>
    <xf numFmtId="211" fontId="153" fillId="105" borderId="15">
      <alignment horizontal="center" vertical="center" wrapText="1"/>
      <protection locked="0"/>
    </xf>
    <xf numFmtId="0" fontId="45" fillId="0" borderId="0">
      <alignment vertical="center"/>
    </xf>
    <xf numFmtId="0" fontId="154" fillId="0" borderId="53">
      <alignment vertical="center"/>
    </xf>
    <xf numFmtId="0" fontId="154" fillId="0" borderId="53">
      <alignment vertical="center"/>
    </xf>
    <xf numFmtId="0" fontId="154" fillId="0" borderId="53">
      <alignment vertical="center"/>
    </xf>
    <xf numFmtId="0" fontId="154" fillId="0" borderId="53">
      <alignment vertical="center"/>
    </xf>
    <xf numFmtId="0" fontId="154" fillId="0" borderId="53">
      <alignment vertical="center"/>
    </xf>
    <xf numFmtId="0" fontId="154" fillId="0" borderId="53">
      <alignment vertical="center"/>
    </xf>
    <xf numFmtId="4" fontId="155" fillId="57" borderId="49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6" fillId="73" borderId="54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5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8" fillId="73" borderId="54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7" fillId="57" borderId="49" applyNumberFormat="0" applyProtection="0">
      <alignment vertical="center"/>
    </xf>
    <xf numFmtId="4" fontId="155" fillId="57" borderId="49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6" fillId="73" borderId="54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0" fontId="156" fillId="73" borderId="54" applyNumberFormat="0" applyProtection="0">
      <alignment horizontal="left" vertical="top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4" fontId="155" fillId="57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07" borderId="49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60" borderId="54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7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69" borderId="54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8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83" borderId="54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09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71" borderId="54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0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77" borderId="54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1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93" borderId="54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2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78" borderId="54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3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5" borderId="54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4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70" borderId="54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5" fillId="116" borderId="49" applyNumberFormat="0" applyProtection="0">
      <alignment horizontal="right" vertical="center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6" fillId="117" borderId="49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5" fillId="118" borderId="55" applyNumberFormat="0" applyProtection="0">
      <alignment horizontal="left" vertical="center" indent="1"/>
    </xf>
    <xf numFmtId="4" fontId="159" fillId="119" borderId="0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4" fontId="155" fillId="120" borderId="54" applyNumberFormat="0" applyProtection="0">
      <alignment horizontal="right" vertical="center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18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4" fontId="87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2" borderId="54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2" borderId="54" applyNumberFormat="0" applyProtection="0">
      <alignment horizontal="left" vertical="top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1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0" borderId="54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0" borderId="54" applyNumberFormat="0" applyProtection="0">
      <alignment horizontal="left" vertical="top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123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68" borderId="54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68" borderId="54" applyNumberFormat="0" applyProtection="0">
      <alignment horizontal="left" vertical="top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55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24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24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0" fontId="160" fillId="122" borderId="56" applyBorder="0"/>
    <xf numFmtId="4" fontId="155" fillId="125" borderId="49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66" borderId="54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5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66" borderId="54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7" fillId="125" borderId="49" applyNumberFormat="0" applyProtection="0">
      <alignment vertical="center"/>
    </xf>
    <xf numFmtId="4" fontId="155" fillId="125" borderId="49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66" borderId="54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0" fontId="155" fillId="66" borderId="54" applyNumberFormat="0" applyProtection="0">
      <alignment horizontal="left" vertical="top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25" borderId="49" applyNumberFormat="0" applyProtection="0">
      <alignment horizontal="left" vertical="center" indent="1"/>
    </xf>
    <xf numFmtId="4" fontId="155" fillId="118" borderId="49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24" borderId="54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5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24" borderId="54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4" fontId="157" fillId="118" borderId="49" applyNumberFormat="0" applyProtection="0">
      <alignment horizontal="right" vertical="center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4" fontId="155" fillId="120" borderId="54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155" fillId="120" borderId="54" applyNumberFormat="0" applyProtection="0">
      <alignment horizontal="left" vertical="top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45" fillId="106" borderId="49" applyNumberFormat="0" applyProtection="0">
      <alignment horizontal="left" vertical="center" indent="1"/>
    </xf>
    <xf numFmtId="0" fontId="161" fillId="0" borderId="0"/>
    <xf numFmtId="0" fontId="162" fillId="126" borderId="15"/>
    <xf numFmtId="0" fontId="162" fillId="126" borderId="15"/>
    <xf numFmtId="0" fontId="162" fillId="126" borderId="15"/>
    <xf numFmtId="4" fontId="163" fillId="118" borderId="49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24" borderId="54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4" fontId="163" fillId="118" borderId="49" applyNumberFormat="0" applyProtection="0">
      <alignment horizontal="right" vertical="center"/>
    </xf>
    <xf numFmtId="0" fontId="1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horizontal="center"/>
    </xf>
    <xf numFmtId="0" fontId="165" fillId="0" borderId="0">
      <alignment horizontal="left" vertical="center" wrapText="1"/>
    </xf>
    <xf numFmtId="0" fontId="45" fillId="127" borderId="0"/>
    <xf numFmtId="0" fontId="43" fillId="0" borderId="0"/>
    <xf numFmtId="0" fontId="45" fillId="55" borderId="0">
      <alignment horizontal="center" vertical="center"/>
    </xf>
    <xf numFmtId="0" fontId="166" fillId="0" borderId="0" applyBorder="0" applyProtection="0">
      <alignment vertical="center"/>
    </xf>
    <xf numFmtId="0" fontId="166" fillId="0" borderId="28" applyBorder="0" applyProtection="0">
      <alignment horizontal="right" vertical="center"/>
    </xf>
    <xf numFmtId="0" fontId="167" fillId="128" borderId="0" applyBorder="0" applyProtection="0">
      <alignment horizontal="centerContinuous" vertical="center"/>
    </xf>
    <xf numFmtId="0" fontId="167" fillId="129" borderId="28" applyBorder="0" applyProtection="0">
      <alignment horizontal="centerContinuous" vertical="center"/>
    </xf>
    <xf numFmtId="0" fontId="168" fillId="0" borderId="0"/>
    <xf numFmtId="172" fontId="169" fillId="130" borderId="0">
      <alignment horizontal="right" vertical="top"/>
    </xf>
    <xf numFmtId="172" fontId="169" fillId="130" borderId="0">
      <alignment horizontal="right" vertical="top"/>
    </xf>
    <xf numFmtId="38" fontId="169" fillId="130" borderId="0">
      <alignment horizontal="right" vertical="top"/>
    </xf>
    <xf numFmtId="0" fontId="139" fillId="0" borderId="0"/>
    <xf numFmtId="0" fontId="170" fillId="0" borderId="0" applyFill="0" applyBorder="0" applyProtection="0">
      <alignment horizontal="left"/>
    </xf>
    <xf numFmtId="0" fontId="110" fillId="0" borderId="57" applyFill="0" applyBorder="0" applyProtection="0">
      <alignment horizontal="left" vertical="top"/>
    </xf>
    <xf numFmtId="0" fontId="130" fillId="0" borderId="0">
      <alignment horizontal="centerContinuous"/>
    </xf>
    <xf numFmtId="191" fontId="45" fillId="0" borderId="0" applyBorder="0" applyAlignment="0" applyProtection="0"/>
    <xf numFmtId="0" fontId="171" fillId="0" borderId="0"/>
    <xf numFmtId="0" fontId="172" fillId="0" borderId="57" applyFill="0" applyBorder="0" applyProtection="0"/>
    <xf numFmtId="0" fontId="172" fillId="0" borderId="0"/>
    <xf numFmtId="0" fontId="173" fillId="0" borderId="0" applyFill="0" applyBorder="0" applyProtection="0"/>
    <xf numFmtId="0" fontId="174" fillId="0" borderId="0"/>
    <xf numFmtId="228" fontId="46" fillId="131" borderId="45" applyFont="0" applyAlignment="0" applyProtection="0"/>
    <xf numFmtId="0" fontId="74" fillId="104" borderId="45">
      <alignment horizontal="left" vertical="center" wrapText="1"/>
    </xf>
    <xf numFmtId="207" fontId="162" fillId="0" borderId="45">
      <alignment horizontal="center" vertical="center" wrapText="1"/>
    </xf>
    <xf numFmtId="229" fontId="162" fillId="131" borderId="45">
      <alignment horizontal="center" vertical="center" wrapText="1"/>
      <protection locked="0"/>
    </xf>
    <xf numFmtId="0" fontId="45" fillId="55" borderId="0"/>
    <xf numFmtId="0" fontId="175" fillId="0" borderId="0" applyNumberFormat="0" applyFill="0" applyBorder="0" applyAlignment="0" applyProtection="0"/>
    <xf numFmtId="49" fontId="176" fillId="123" borderId="58" applyNumberFormat="0">
      <alignment horizontal="center" vertical="center"/>
    </xf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94" fillId="0" borderId="60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8" fillId="0" borderId="39" applyFill="0" applyBorder="0" applyProtection="0">
      <alignment vertical="center"/>
    </xf>
    <xf numFmtId="0" fontId="179" fillId="0" borderId="0">
      <alignment horizontal="fill"/>
    </xf>
    <xf numFmtId="0" fontId="112" fillId="0" borderId="0"/>
    <xf numFmtId="211" fontId="180" fillId="109" borderId="61">
      <alignment horizontal="center" vertical="center"/>
    </xf>
    <xf numFmtId="0" fontId="181" fillId="0" borderId="0"/>
    <xf numFmtId="0" fontId="181" fillId="0" borderId="0"/>
    <xf numFmtId="213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230" fontId="45" fillId="0" borderId="0" applyFont="0" applyFill="0" applyBorder="0" applyAlignment="0" applyProtection="0"/>
    <xf numFmtId="231" fontId="45" fillId="0" borderId="0" applyFont="0" applyFill="0" applyBorder="0" applyAlignment="0" applyProtection="0"/>
    <xf numFmtId="0" fontId="183" fillId="0" borderId="28" applyBorder="0" applyProtection="0">
      <alignment horizontal="right"/>
    </xf>
    <xf numFmtId="232" fontId="90" fillId="0" borderId="38" applyFont="0" applyFill="0" applyBorder="0" applyAlignment="0">
      <alignment horizontal="centerContinuous"/>
    </xf>
    <xf numFmtId="233" fontId="184" fillId="0" borderId="38" applyFont="0" applyFill="0" applyBorder="0" applyAlignment="0">
      <alignment horizontal="centerContinuous"/>
    </xf>
    <xf numFmtId="211" fontId="45" fillId="132" borderId="15" applyNumberFormat="0" applyFill="0" applyBorder="0" applyProtection="0">
      <alignment vertical="center"/>
      <protection locked="0"/>
    </xf>
    <xf numFmtId="211" fontId="45" fillId="132" borderId="15" applyNumberFormat="0" applyFill="0" applyBorder="0" applyProtection="0">
      <alignment vertical="center"/>
      <protection locked="0"/>
    </xf>
    <xf numFmtId="211" fontId="45" fillId="132" borderId="15" applyNumberFormat="0" applyFill="0" applyBorder="0" applyProtection="0">
      <alignment vertical="center"/>
      <protection locked="0"/>
    </xf>
    <xf numFmtId="0" fontId="61" fillId="79" borderId="0" applyNumberFormat="0" applyBorder="0" applyAlignment="0" applyProtection="0"/>
    <xf numFmtId="0" fontId="62" fillId="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83" borderId="0" applyNumberFormat="0" applyBorder="0" applyAlignment="0" applyProtection="0"/>
    <xf numFmtId="0" fontId="62" fillId="1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78" borderId="0" applyNumberFormat="0" applyBorder="0" applyAlignment="0" applyProtection="0"/>
    <xf numFmtId="0" fontId="62" fillId="17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5" borderId="0" applyNumberFormat="0" applyBorder="0" applyAlignment="0" applyProtection="0"/>
    <xf numFmtId="0" fontId="62" fillId="21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2" fillId="2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93" borderId="0" applyNumberFormat="0" applyBorder="0" applyAlignment="0" applyProtection="0"/>
    <xf numFmtId="0" fontId="62" fillId="29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186" fontId="69" fillId="0" borderId="33">
      <protection locked="0"/>
    </xf>
    <xf numFmtId="186" fontId="69" fillId="0" borderId="33">
      <protection locked="0"/>
    </xf>
    <xf numFmtId="186" fontId="69" fillId="0" borderId="33">
      <protection locked="0"/>
    </xf>
    <xf numFmtId="186" fontId="69" fillId="0" borderId="33">
      <protection locked="0"/>
    </xf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85" fillId="5" borderId="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73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0" fontId="125" fillId="64" borderId="34" applyNumberFormat="0" applyAlignment="0" applyProtection="0"/>
    <xf numFmtId="3" fontId="186" fillId="0" borderId="0">
      <alignment horizontal="center" vertical="center" textRotation="90" wrapText="1"/>
    </xf>
    <xf numFmtId="234" fontId="69" fillId="0" borderId="15">
      <alignment vertical="top" wrapText="1"/>
    </xf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87" fillId="6" borderId="5" applyNumberFormat="0" applyAlignment="0" applyProtection="0"/>
    <xf numFmtId="0" fontId="143" fillId="72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65" borderId="49" applyNumberFormat="0" applyAlignment="0" applyProtection="0"/>
    <xf numFmtId="0" fontId="143" fillId="65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143" fillId="72" borderId="49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188" fillId="6" borderId="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76" fillId="72" borderId="34" applyNumberFormat="0" applyAlignment="0" applyProtection="0"/>
    <xf numFmtId="0" fontId="58" fillId="0" borderId="0"/>
    <xf numFmtId="0" fontId="58" fillId="0" borderId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49" fontId="192" fillId="0" borderId="0" applyNumberFormat="0" applyFill="0" applyBorder="0" applyAlignment="0" applyProtection="0">
      <alignment vertical="top"/>
    </xf>
    <xf numFmtId="0" fontId="58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235" fontId="196" fillId="0" borderId="15">
      <alignment vertical="top" wrapText="1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>
      <alignment horizontal="left" vertical="center"/>
    </xf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4" fontId="197" fillId="0" borderId="15"/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133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197" fillId="67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90" fillId="134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8" fillId="55" borderId="15"/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4" fontId="199" fillId="0" borderId="15">
      <alignment horizontal="center" wrapText="1"/>
    </xf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7" fillId="0" borderId="15"/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horizontal="center" vertical="center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235" fontId="196" fillId="0" borderId="15">
      <alignment vertical="top" wrapText="1"/>
    </xf>
    <xf numFmtId="0" fontId="58" fillId="0" borderId="0"/>
    <xf numFmtId="0" fontId="58" fillId="0" borderId="0"/>
    <xf numFmtId="0" fontId="58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8" fillId="0" borderId="0"/>
    <xf numFmtId="0" fontId="58" fillId="0" borderId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7" fontId="5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0" fillId="0" borderId="0" applyBorder="0">
      <alignment horizontal="center" vertical="center" wrapText="1"/>
    </xf>
    <xf numFmtId="0" fontId="117" fillId="0" borderId="42" applyNumberFormat="0" applyFill="0" applyAlignment="0" applyProtection="0"/>
    <xf numFmtId="0" fontId="201" fillId="0" borderId="1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117" fillId="0" borderId="42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8" fillId="0" borderId="43" applyNumberFormat="0" applyFill="0" applyAlignment="0" applyProtection="0"/>
    <xf numFmtId="0" fontId="202" fillId="0" borderId="2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118" fillId="0" borderId="43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203" fillId="0" borderId="3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119" fillId="0" borderId="44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9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10" applyBorder="0">
      <alignment horizontal="center" vertical="center" wrapText="1"/>
    </xf>
    <xf numFmtId="0" fontId="22" fillId="0" borderId="10" applyBorder="0">
      <alignment horizontal="center" vertical="center" wrapText="1"/>
    </xf>
    <xf numFmtId="0" fontId="22" fillId="0" borderId="10" applyBorder="0">
      <alignment horizontal="center" vertical="center" wrapText="1"/>
    </xf>
    <xf numFmtId="0" fontId="22" fillId="0" borderId="10" applyBorder="0">
      <alignment horizontal="center" vertical="center" wrapText="1"/>
    </xf>
    <xf numFmtId="0" fontId="22" fillId="0" borderId="10" applyBorder="0">
      <alignment horizontal="center" vertical="center" wrapText="1"/>
    </xf>
    <xf numFmtId="0" fontId="22" fillId="0" borderId="10" applyBorder="0">
      <alignment horizontal="center" vertical="center" wrapText="1"/>
    </xf>
    <xf numFmtId="186" fontId="86" fillId="99" borderId="33"/>
    <xf numFmtId="186" fontId="86" fillId="99" borderId="33"/>
    <xf numFmtId="186" fontId="86" fillId="99" borderId="33"/>
    <xf numFmtId="186" fontId="86" fillId="99" borderId="33"/>
    <xf numFmtId="0" fontId="58" fillId="0" borderId="0"/>
    <xf numFmtId="4" fontId="11" fillId="57" borderId="15" applyBorder="0">
      <alignment horizontal="righ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0" fontId="58" fillId="0" borderId="0"/>
    <xf numFmtId="0" fontId="58" fillId="0" borderId="0"/>
    <xf numFmtId="0" fontId="58" fillId="0" borderId="0"/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4" fontId="11" fillId="57" borderId="15" applyBorder="0">
      <alignment horizontal="right"/>
    </xf>
    <xf numFmtId="0" fontId="58" fillId="0" borderId="0"/>
    <xf numFmtId="49" fontId="205" fillId="0" borderId="0" applyBorder="0">
      <alignment vertical="center"/>
    </xf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206" fillId="0" borderId="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0" fontId="177" fillId="0" borderId="59" applyNumberFormat="0" applyFill="0" applyAlignment="0" applyProtection="0"/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3" fontId="86" fillId="0" borderId="15" applyBorder="0">
      <alignment vertical="center"/>
    </xf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9" fillId="98" borderId="35" applyNumberFormat="0" applyAlignment="0" applyProtection="0"/>
    <xf numFmtId="0" fontId="207" fillId="7" borderId="7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79" fillId="98" borderId="35" applyNumberFormat="0" applyAlignment="0" applyProtection="0"/>
    <xf numFmtId="0" fontId="51" fillId="0" borderId="0">
      <alignment wrapText="1"/>
    </xf>
    <xf numFmtId="0" fontId="60" fillId="0" borderId="0">
      <alignment horizontal="center" vertical="top" wrapText="1"/>
    </xf>
    <xf numFmtId="0" fontId="208" fillId="0" borderId="0">
      <alignment horizontal="centerContinuous" vertical="center" wrapText="1"/>
    </xf>
    <xf numFmtId="169" fontId="60" fillId="0" borderId="0">
      <alignment horizontal="center" vertical="top"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0" fontId="136" fillId="56" borderId="0" applyFill="0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166" fontId="209" fillId="56" borderId="15">
      <alignment wrapText="1"/>
    </xf>
    <xf numFmtId="0" fontId="1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236" fontId="210" fillId="0" borderId="0"/>
    <xf numFmtId="0" fontId="135" fillId="73" borderId="0" applyNumberFormat="0" applyBorder="0" applyAlignment="0" applyProtection="0"/>
    <xf numFmtId="0" fontId="211" fillId="4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0" fontId="135" fillId="73" borderId="0" applyNumberFormat="0" applyBorder="0" applyAlignment="0" applyProtection="0"/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49" fontId="186" fillId="0" borderId="15">
      <alignment horizontal="right" vertical="top" wrapText="1"/>
    </xf>
    <xf numFmtId="168" fontId="212" fillId="0" borderId="0">
      <alignment horizontal="right" vertical="top" wrapText="1"/>
    </xf>
    <xf numFmtId="0" fontId="58" fillId="0" borderId="0"/>
    <xf numFmtId="49" fontId="1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58" fillId="0" borderId="0"/>
    <xf numFmtId="49" fontId="1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49" fontId="11" fillId="0" borderId="0" applyBorder="0">
      <alignment vertical="top"/>
    </xf>
    <xf numFmtId="0" fontId="51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1" fillId="0" borderId="0"/>
    <xf numFmtId="0" fontId="1" fillId="0" borderId="0"/>
    <xf numFmtId="0" fontId="216" fillId="0" borderId="0"/>
    <xf numFmtId="0" fontId="217" fillId="116" borderId="0" applyNumberFormat="0" applyBorder="0" applyAlignment="0">
      <alignment horizontal="left" vertical="center"/>
    </xf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17" fillId="116" borderId="0" applyNumberFormat="0" applyBorder="0" applyAlignment="0">
      <alignment horizontal="left" vertical="center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8" fillId="0" borderId="0"/>
    <xf numFmtId="0" fontId="51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49" fontId="11" fillId="0" borderId="0" applyBorder="0">
      <alignment vertical="top"/>
    </xf>
    <xf numFmtId="0" fontId="51" fillId="0" borderId="0"/>
    <xf numFmtId="49" fontId="11" fillId="0" borderId="0" applyBorder="0">
      <alignment vertical="top"/>
    </xf>
    <xf numFmtId="0" fontId="5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49" fontId="11" fillId="116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2" fillId="0" borderId="0"/>
    <xf numFmtId="0" fontId="82" fillId="0" borderId="0"/>
    <xf numFmtId="0" fontId="82" fillId="0" borderId="0"/>
    <xf numFmtId="0" fontId="51" fillId="0" borderId="0"/>
    <xf numFmtId="0" fontId="82" fillId="0" borderId="0"/>
    <xf numFmtId="0" fontId="51" fillId="0" borderId="0"/>
    <xf numFmtId="0" fontId="82" fillId="0" borderId="0"/>
    <xf numFmtId="0" fontId="51" fillId="0" borderId="0"/>
    <xf numFmtId="49" fontId="1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8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49" fontId="1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1" fontId="219" fillId="0" borderId="15">
      <alignment horizontal="left" vertical="center"/>
    </xf>
    <xf numFmtId="0" fontId="72" fillId="60" borderId="0" applyNumberFormat="0" applyBorder="0" applyAlignment="0" applyProtection="0"/>
    <xf numFmtId="0" fontId="220" fillId="3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51" fillId="0" borderId="0" applyFont="0" applyFill="0" applyBorder="0" applyProtection="0">
      <alignment horizontal="center" vertical="center" wrapText="1"/>
    </xf>
    <xf numFmtId="0" fontId="51" fillId="0" borderId="0" applyFont="0" applyFill="0" applyBorder="0" applyProtection="0">
      <alignment horizontal="center" vertical="center" wrapText="1"/>
    </xf>
    <xf numFmtId="0" fontId="51" fillId="0" borderId="0" applyFont="0" applyFill="0" applyBorder="0" applyProtection="0">
      <alignment horizontal="center" vertical="center" wrapText="1"/>
    </xf>
    <xf numFmtId="0" fontId="51" fillId="0" borderId="0" applyFont="0" applyFill="0" applyBorder="0" applyProtection="0">
      <alignment horizontal="center" vertical="center" wrapText="1"/>
    </xf>
    <xf numFmtId="0" fontId="51" fillId="0" borderId="0" applyNumberFormat="0" applyFont="0" applyFill="0" applyBorder="0" applyProtection="0">
      <alignment horizontal="justify" vertical="center" wrapText="1"/>
    </xf>
    <xf numFmtId="0" fontId="51" fillId="0" borderId="0" applyNumberFormat="0" applyFont="0" applyFill="0" applyBorder="0" applyProtection="0">
      <alignment horizontal="justify" vertical="center" wrapText="1"/>
    </xf>
    <xf numFmtId="0" fontId="51" fillId="0" borderId="0" applyNumberFormat="0" applyFont="0" applyFill="0" applyBorder="0" applyProtection="0">
      <alignment horizontal="justify" vertical="center" wrapText="1"/>
    </xf>
    <xf numFmtId="0" fontId="51" fillId="0" borderId="0" applyNumberFormat="0" applyFont="0" applyFill="0" applyBorder="0" applyProtection="0">
      <alignment horizontal="justify" vertical="center" wrapText="1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235" fontId="221" fillId="0" borderId="15">
      <alignment vertical="top"/>
    </xf>
    <xf numFmtId="0" fontId="1" fillId="0" borderId="0"/>
    <xf numFmtId="0" fontId="1" fillId="0" borderId="0"/>
    <xf numFmtId="168" fontId="222" fillId="57" borderId="50" applyNumberFormat="0" applyBorder="0" applyAlignment="0">
      <alignment vertical="center"/>
      <protection locked="0"/>
    </xf>
    <xf numFmtId="0" fontId="100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1" fillId="8" borderId="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1" fillId="8" borderId="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1" fillId="8" borderId="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51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8" borderId="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8" borderId="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1" fillId="8" borderId="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45" fillId="66" borderId="48" applyNumberFormat="0" applyFont="0" applyAlignment="0" applyProtection="0"/>
    <xf numFmtId="0" fontId="1" fillId="0" borderId="0"/>
    <xf numFmtId="49" fontId="90" fillId="0" borderId="27">
      <alignment horizontal="left" vertical="center"/>
    </xf>
    <xf numFmtId="9" fontId="83" fillId="0" borderId="0" applyFont="0" applyFill="0" applyBorder="0" applyAlignment="0" applyProtection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1" fillId="0" borderId="0"/>
    <xf numFmtId="9" fontId="4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165" fontId="224" fillId="0" borderId="15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5" fillId="135" borderId="27">
      <alignment horizontal="justify" vertical="center"/>
    </xf>
    <xf numFmtId="0" fontId="131" fillId="0" borderId="46" applyNumberFormat="0" applyFill="0" applyAlignment="0" applyProtection="0"/>
    <xf numFmtId="0" fontId="226" fillId="0" borderId="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31" fillId="0" borderId="46" applyNumberFormat="0" applyFill="0" applyAlignment="0" applyProtection="0"/>
    <xf numFmtId="0" fontId="1" fillId="0" borderId="0"/>
    <xf numFmtId="0" fontId="44" fillId="0" borderId="0"/>
    <xf numFmtId="172" fontId="46" fillId="0" borderId="0">
      <alignment vertical="top"/>
    </xf>
    <xf numFmtId="172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3" fillId="0" borderId="0"/>
    <xf numFmtId="0" fontId="1" fillId="0" borderId="0"/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194" fillId="137" borderId="62" applyBorder="0" applyProtection="0">
      <alignment horizontal="left" vertical="center"/>
    </xf>
    <xf numFmtId="49" fontId="194" fillId="137" borderId="62" applyBorder="0" applyProtection="0">
      <alignment horizontal="left" vertical="center"/>
    </xf>
    <xf numFmtId="49" fontId="194" fillId="137" borderId="62" applyBorder="0" applyProtection="0">
      <alignment horizontal="left" vertical="center"/>
    </xf>
    <xf numFmtId="49" fontId="194" fillId="137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27" fillId="136" borderId="62" applyBorder="0" applyProtection="0">
      <alignment horizontal="left" vertical="center"/>
    </xf>
    <xf numFmtId="49" fontId="212" fillId="0" borderId="0"/>
    <xf numFmtId="49" fontId="228" fillId="0" borderId="0">
      <alignment vertical="top"/>
    </xf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168" fontId="136" fillId="0" borderId="0" applyFill="0" applyBorder="0" applyAlignment="0" applyProtection="0"/>
    <xf numFmtId="0" fontId="18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49" fontId="136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2" fontId="136" fillId="0" borderId="0" applyFill="0" applyBorder="0" applyAlignment="0" applyProtection="0"/>
    <xf numFmtId="0" fontId="1" fillId="0" borderId="0"/>
    <xf numFmtId="191" fontId="8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1" fillId="0" borderId="0"/>
    <xf numFmtId="191" fontId="58" fillId="0" borderId="0" applyFont="0" applyFill="0" applyBorder="0" applyAlignment="0" applyProtection="0"/>
    <xf numFmtId="0" fontId="1" fillId="0" borderId="0"/>
    <xf numFmtId="191" fontId="58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8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237" fontId="45" fillId="0" borderId="0" applyFont="0" applyFill="0" applyBorder="0" applyAlignment="0" applyProtection="0"/>
    <xf numFmtId="237" fontId="45" fillId="0" borderId="0" applyFont="0" applyFill="0" applyBorder="0" applyAlignment="0" applyProtection="0"/>
    <xf numFmtId="23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51" fillId="0" borderId="0" applyFont="0" applyFill="0" applyBorder="0" applyAlignment="0" applyProtection="0"/>
    <xf numFmtId="178" fontId="45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8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1" fillId="0" borderId="0" applyFont="0" applyFill="0" applyBorder="0" applyAlignment="0" applyProtection="0"/>
    <xf numFmtId="191" fontId="82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238" fontId="51" fillId="0" borderId="0" applyFont="0" applyFill="0" applyBorder="0" applyAlignment="0" applyProtection="0"/>
    <xf numFmtId="4" fontId="11" fillId="56" borderId="0" applyBorder="0">
      <alignment horizontal="right"/>
    </xf>
    <xf numFmtId="4" fontId="11" fillId="56" borderId="0" applyBorder="0">
      <alignment horizontal="right"/>
    </xf>
    <xf numFmtId="4" fontId="11" fillId="56" borderId="0" applyBorder="0">
      <alignment horizontal="right"/>
    </xf>
    <xf numFmtId="4" fontId="11" fillId="138" borderId="13" applyBorder="0">
      <alignment horizontal="right"/>
    </xf>
    <xf numFmtId="4" fontId="11" fillId="138" borderId="13" applyBorder="0">
      <alignment horizontal="right"/>
    </xf>
    <xf numFmtId="4" fontId="11" fillId="138" borderId="13" applyBorder="0">
      <alignment horizontal="right"/>
    </xf>
    <xf numFmtId="4" fontId="11" fillId="138" borderId="13" applyBorder="0">
      <alignment horizontal="right"/>
    </xf>
    <xf numFmtId="4" fontId="11" fillId="138" borderId="13" applyBorder="0">
      <alignment horizontal="right"/>
    </xf>
    <xf numFmtId="4" fontId="11" fillId="138" borderId="13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4" fontId="11" fillId="56" borderId="15" applyFont="0" applyBorder="0">
      <alignment horizontal="right"/>
    </xf>
    <xf numFmtId="0" fontId="1" fillId="0" borderId="0"/>
    <xf numFmtId="0" fontId="1" fillId="0" borderId="0"/>
    <xf numFmtId="0" fontId="111" fillId="61" borderId="0" applyNumberFormat="0" applyBorder="0" applyAlignment="0" applyProtection="0"/>
    <xf numFmtId="0" fontId="1" fillId="0" borderId="0"/>
    <xf numFmtId="0" fontId="230" fillId="2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0" fontId="111" fillId="61" borderId="0" applyNumberFormat="0" applyBorder="0" applyAlignment="0" applyProtection="0"/>
    <xf numFmtId="239" fontId="69" fillId="0" borderId="27">
      <alignment vertical="top" wrapText="1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167" fontId="51" fillId="0" borderId="15" applyFont="0" applyFill="0" applyBorder="0" applyProtection="0">
      <alignment horizontal="center" vertical="center"/>
    </xf>
    <xf numFmtId="3" fontId="51" fillId="0" borderId="0" applyFont="0" applyBorder="0">
      <alignment horizontal="center"/>
    </xf>
    <xf numFmtId="240" fontId="54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49" fontId="196" fillId="0" borderId="15">
      <alignment horizontal="center" vertical="center" wrapText="1"/>
    </xf>
    <xf numFmtId="0" fontId="69" fillId="0" borderId="15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69" fillId="0" borderId="15" applyBorder="0">
      <alignment horizontal="center" vertical="center" wrapText="1"/>
    </xf>
    <xf numFmtId="0" fontId="1" fillId="0" borderId="0"/>
    <xf numFmtId="0" fontId="1" fillId="0" borderId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49" fontId="165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9" fontId="1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98" fillId="0" borderId="0" applyNumberFormat="0" applyFill="0" applyBorder="0" applyAlignment="0" applyProtection="0"/>
  </cellStyleXfs>
  <cellXfs count="17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 applyProtection="1">
      <alignment horizontal="left" vertical="center" wrapText="1"/>
    </xf>
    <xf numFmtId="49" fontId="6" fillId="33" borderId="20" xfId="0" applyNumberFormat="1" applyFont="1" applyFill="1" applyBorder="1" applyAlignment="1" applyProtection="1">
      <alignment horizontal="left" vertical="center" wrapText="1"/>
    </xf>
    <xf numFmtId="49" fontId="6" fillId="34" borderId="13" xfId="0" applyNumberFormat="1" applyFont="1" applyFill="1" applyBorder="1" applyAlignment="1" applyProtection="1">
      <alignment horizontal="center" vertical="center" wrapText="1"/>
    </xf>
    <xf numFmtId="3" fontId="11" fillId="34" borderId="21" xfId="0" applyNumberFormat="1" applyFont="1" applyFill="1" applyBorder="1" applyAlignment="1" applyProtection="1">
      <alignment horizontal="center" vertical="center"/>
    </xf>
    <xf numFmtId="3" fontId="11" fillId="34" borderId="24" xfId="0" applyNumberFormat="1" applyFont="1" applyFill="1" applyBorder="1" applyAlignment="1" applyProtection="1">
      <alignment horizontal="center" vertical="center"/>
    </xf>
    <xf numFmtId="4" fontId="11" fillId="34" borderId="25" xfId="0" applyNumberFormat="1" applyFont="1" applyFill="1" applyBorder="1" applyAlignment="1" applyProtection="1">
      <alignment horizontal="center" vertical="center"/>
    </xf>
    <xf numFmtId="49" fontId="12" fillId="37" borderId="15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indent="1"/>
    </xf>
    <xf numFmtId="4" fontId="14" fillId="34" borderId="15" xfId="0" applyNumberFormat="1" applyFont="1" applyFill="1" applyBorder="1" applyAlignment="1" applyProtection="1">
      <alignment horizontal="left" vertical="center" wrapText="1"/>
    </xf>
    <xf numFmtId="49" fontId="6" fillId="33" borderId="15" xfId="0" applyNumberFormat="1" applyFont="1" applyFill="1" applyBorder="1" applyAlignment="1" applyProtection="1">
      <alignment horizontal="center" vertical="center" wrapText="1"/>
    </xf>
    <xf numFmtId="4" fontId="11" fillId="34" borderId="15" xfId="0" applyNumberFormat="1" applyFont="1" applyFill="1" applyBorder="1" applyAlignment="1" applyProtection="1">
      <alignment horizontal="center" vertical="center"/>
    </xf>
    <xf numFmtId="4" fontId="10" fillId="34" borderId="15" xfId="0" applyNumberFormat="1" applyFont="1" applyFill="1" applyBorder="1" applyAlignment="1" applyProtection="1">
      <alignment horizontal="center" vertical="center"/>
    </xf>
    <xf numFmtId="49" fontId="12" fillId="35" borderId="15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Fill="1" applyBorder="1" applyAlignment="1">
      <alignment horizontal="right" vertical="center" indent="1"/>
    </xf>
    <xf numFmtId="49" fontId="6" fillId="0" borderId="15" xfId="0" applyNumberFormat="1" applyFont="1" applyFill="1" applyBorder="1" applyAlignment="1" applyProtection="1">
      <alignment horizontal="left" vertical="center" wrapText="1" indent="3"/>
    </xf>
    <xf numFmtId="4" fontId="11" fillId="38" borderId="15" xfId="0" applyNumberFormat="1" applyFont="1" applyFill="1" applyBorder="1" applyAlignment="1" applyProtection="1">
      <alignment horizontal="center" vertical="center"/>
      <protection locked="0"/>
    </xf>
    <xf numFmtId="4" fontId="10" fillId="38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right" vertical="center" wrapText="1"/>
    </xf>
    <xf numFmtId="49" fontId="6" fillId="33" borderId="20" xfId="0" applyNumberFormat="1" applyFont="1" applyFill="1" applyBorder="1" applyAlignment="1" applyProtection="1">
      <alignment horizontal="center" vertical="center" wrapText="1"/>
    </xf>
    <xf numFmtId="49" fontId="12" fillId="39" borderId="15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indent="1"/>
    </xf>
    <xf numFmtId="49" fontId="6" fillId="33" borderId="15" xfId="0" applyNumberFormat="1" applyFont="1" applyFill="1" applyBorder="1" applyAlignment="1" applyProtection="1">
      <alignment horizontal="left" vertical="center" wrapText="1" indent="4"/>
    </xf>
    <xf numFmtId="49" fontId="11" fillId="35" borderId="15" xfId="0" applyNumberFormat="1" applyFont="1" applyFill="1" applyBorder="1" applyAlignment="1" applyProtection="1">
      <alignment horizontal="center" vertical="center"/>
    </xf>
    <xf numFmtId="49" fontId="10" fillId="35" borderId="15" xfId="0" applyNumberFormat="1" applyFont="1" applyFill="1" applyBorder="1" applyAlignment="1" applyProtection="1">
      <alignment horizontal="center" vertical="center"/>
    </xf>
    <xf numFmtId="49" fontId="6" fillId="33" borderId="15" xfId="0" applyNumberFormat="1" applyFont="1" applyFill="1" applyBorder="1" applyAlignment="1" applyProtection="1">
      <alignment horizontal="left" vertical="center" wrapText="1" indent="5"/>
    </xf>
    <xf numFmtId="0" fontId="6" fillId="0" borderId="15" xfId="0" applyNumberFormat="1" applyFont="1" applyFill="1" applyBorder="1" applyAlignment="1">
      <alignment horizontal="right" vertical="center" indent="1"/>
    </xf>
    <xf numFmtId="49" fontId="6" fillId="33" borderId="15" xfId="0" applyNumberFormat="1" applyFont="1" applyFill="1" applyBorder="1" applyAlignment="1" applyProtection="1">
      <alignment horizontal="left" vertical="center" wrapText="1" indent="6"/>
    </xf>
    <xf numFmtId="49" fontId="6" fillId="33" borderId="15" xfId="0" applyNumberFormat="1" applyFont="1" applyFill="1" applyBorder="1" applyAlignment="1" applyProtection="1">
      <alignment horizontal="left" vertical="center" wrapText="1" indent="7"/>
    </xf>
    <xf numFmtId="49" fontId="13" fillId="0" borderId="15" xfId="0" applyNumberFormat="1" applyFont="1" applyFill="1" applyBorder="1" applyAlignment="1" applyProtection="1">
      <alignment horizontal="left" vertical="center" wrapText="1" indent="3"/>
    </xf>
    <xf numFmtId="49" fontId="6" fillId="0" borderId="15" xfId="0" applyNumberFormat="1" applyFont="1" applyFill="1" applyBorder="1" applyAlignment="1" applyProtection="1">
      <alignment horizontal="right" vertical="center" wrapText="1" indent="4"/>
    </xf>
    <xf numFmtId="0" fontId="6" fillId="33" borderId="15" xfId="0" applyNumberFormat="1" applyFont="1" applyFill="1" applyBorder="1" applyAlignment="1" applyProtection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 indent="4"/>
    </xf>
    <xf numFmtId="49" fontId="6" fillId="40" borderId="15" xfId="0" applyNumberFormat="1" applyFont="1" applyFill="1" applyBorder="1" applyAlignment="1" applyProtection="1">
      <alignment horizontal="left" vertical="center" wrapText="1" indent="3"/>
    </xf>
    <xf numFmtId="0" fontId="15" fillId="41" borderId="0" xfId="0" applyFont="1" applyFill="1"/>
    <xf numFmtId="49" fontId="16" fillId="0" borderId="15" xfId="0" applyNumberFormat="1" applyFont="1" applyFill="1" applyBorder="1" applyAlignment="1">
      <alignment horizontal="left" vertical="center" indent="1"/>
    </xf>
    <xf numFmtId="49" fontId="16" fillId="33" borderId="15" xfId="0" applyNumberFormat="1" applyFont="1" applyFill="1" applyBorder="1" applyAlignment="1" applyProtection="1">
      <alignment horizontal="center" vertical="center" wrapText="1"/>
    </xf>
    <xf numFmtId="4" fontId="18" fillId="38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49" fontId="6" fillId="43" borderId="15" xfId="0" applyNumberFormat="1" applyFont="1" applyFill="1" applyBorder="1" applyAlignment="1" applyProtection="1">
      <alignment horizontal="left" vertical="center" wrapText="1" indent="3"/>
    </xf>
    <xf numFmtId="0" fontId="6" fillId="43" borderId="15" xfId="0" applyNumberFormat="1" applyFont="1" applyFill="1" applyBorder="1" applyAlignment="1" applyProtection="1">
      <alignment horizontal="left" vertical="center" wrapText="1" indent="3"/>
    </xf>
    <xf numFmtId="49" fontId="6" fillId="33" borderId="15" xfId="0" applyNumberFormat="1" applyFont="1" applyFill="1" applyBorder="1" applyAlignment="1" applyProtection="1">
      <alignment horizontal="left" vertical="center" wrapText="1" indent="3"/>
    </xf>
    <xf numFmtId="49" fontId="13" fillId="36" borderId="15" xfId="0" applyNumberFormat="1" applyFont="1" applyFill="1" applyBorder="1" applyAlignment="1" applyProtection="1">
      <alignment horizontal="left" vertical="center" wrapText="1" indent="1"/>
    </xf>
    <xf numFmtId="49" fontId="19" fillId="0" borderId="15" xfId="0" applyNumberFormat="1" applyFont="1" applyFill="1" applyBorder="1" applyAlignment="1" applyProtection="1">
      <alignment horizontal="left" vertical="center" wrapText="1" indent="3"/>
    </xf>
    <xf numFmtId="4" fontId="10" fillId="44" borderId="15" xfId="0" applyNumberFormat="1" applyFont="1" applyFill="1" applyBorder="1" applyAlignment="1" applyProtection="1">
      <alignment horizontal="center" vertical="center"/>
      <protection locked="0"/>
    </xf>
    <xf numFmtId="49" fontId="20" fillId="35" borderId="15" xfId="0" applyNumberFormat="1" applyFont="1" applyFill="1" applyBorder="1" applyAlignment="1" applyProtection="1">
      <alignment horizontal="center" vertical="center" wrapText="1"/>
    </xf>
    <xf numFmtId="49" fontId="20" fillId="0" borderId="15" xfId="0" applyNumberFormat="1" applyFont="1" applyFill="1" applyBorder="1" applyAlignment="1">
      <alignment horizontal="left" vertical="center" indent="1"/>
    </xf>
    <xf numFmtId="49" fontId="20" fillId="33" borderId="15" xfId="0" applyNumberFormat="1" applyFont="1" applyFill="1" applyBorder="1" applyAlignment="1" applyProtection="1">
      <alignment horizontal="left" vertical="center" wrapText="1" indent="3"/>
    </xf>
    <xf numFmtId="49" fontId="20" fillId="33" borderId="15" xfId="0" applyNumberFormat="1" applyFont="1" applyFill="1" applyBorder="1" applyAlignment="1" applyProtection="1">
      <alignment horizontal="center" vertical="center" wrapText="1"/>
    </xf>
    <xf numFmtId="4" fontId="21" fillId="38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12" fillId="42" borderId="15" xfId="0" applyNumberFormat="1" applyFont="1" applyFill="1" applyBorder="1" applyAlignment="1" applyProtection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left" vertical="center" wrapText="1" indent="2"/>
    </xf>
    <xf numFmtId="49" fontId="12" fillId="45" borderId="15" xfId="0" applyNumberFormat="1" applyFont="1" applyFill="1" applyBorder="1" applyAlignment="1" applyProtection="1">
      <alignment horizontal="center" vertical="center" wrapText="1"/>
    </xf>
    <xf numFmtId="4" fontId="11" fillId="44" borderId="15" xfId="0" applyNumberFormat="1" applyFont="1" applyFill="1" applyBorder="1" applyAlignment="1" applyProtection="1">
      <alignment horizontal="center" vertical="center"/>
      <protection locked="0"/>
    </xf>
    <xf numFmtId="49" fontId="6" fillId="35" borderId="15" xfId="0" applyNumberFormat="1" applyFont="1" applyFill="1" applyBorder="1" applyAlignment="1" applyProtection="1">
      <alignment horizontal="left" vertical="center" indent="1"/>
    </xf>
    <xf numFmtId="49" fontId="6" fillId="35" borderId="15" xfId="0" applyNumberFormat="1" applyFont="1" applyFill="1" applyBorder="1" applyAlignment="1" applyProtection="1">
      <alignment horizontal="left" vertical="center" wrapText="1" indent="4"/>
    </xf>
    <xf numFmtId="49" fontId="6" fillId="35" borderId="15" xfId="0" applyNumberFormat="1" applyFont="1" applyFill="1" applyBorder="1" applyAlignment="1" applyProtection="1">
      <alignment horizontal="center" vertical="center" wrapText="1"/>
    </xf>
    <xf numFmtId="49" fontId="22" fillId="36" borderId="15" xfId="0" applyNumberFormat="1" applyFont="1" applyFill="1" applyBorder="1" applyAlignment="1" applyProtection="1">
      <alignment horizontal="left" vertical="center" wrapText="1" indent="1"/>
    </xf>
    <xf numFmtId="4" fontId="23" fillId="34" borderId="15" xfId="0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left" vertical="center" wrapText="1" indent="1"/>
    </xf>
    <xf numFmtId="49" fontId="6" fillId="0" borderId="15" xfId="2" applyFont="1" applyFill="1" applyBorder="1" applyAlignment="1" applyProtection="1">
      <alignment horizontal="left" vertical="center" wrapText="1" indent="2"/>
    </xf>
    <xf numFmtId="49" fontId="6" fillId="0" borderId="15" xfId="2" applyFont="1" applyFill="1" applyBorder="1" applyAlignment="1" applyProtection="1">
      <alignment horizontal="center" vertical="center"/>
    </xf>
    <xf numFmtId="49" fontId="6" fillId="0" borderId="15" xfId="2" applyFont="1" applyFill="1" applyBorder="1" applyAlignment="1" applyProtection="1">
      <alignment horizontal="left" vertical="center" wrapText="1" indent="3"/>
    </xf>
    <xf numFmtId="49" fontId="6" fillId="0" borderId="15" xfId="2" applyFont="1" applyFill="1" applyBorder="1" applyAlignment="1" applyProtection="1">
      <alignment horizontal="left" vertical="center" wrapText="1" indent="4"/>
    </xf>
    <xf numFmtId="49" fontId="13" fillId="0" borderId="15" xfId="2" applyFont="1" applyFill="1" applyBorder="1" applyAlignment="1" applyProtection="1">
      <alignment horizontal="left" vertical="center" wrapText="1" indent="4"/>
    </xf>
    <xf numFmtId="49" fontId="24" fillId="35" borderId="15" xfId="2" applyFont="1" applyFill="1" applyBorder="1" applyAlignment="1" applyProtection="1">
      <alignment horizontal="left" vertical="center" wrapText="1" indent="2"/>
    </xf>
    <xf numFmtId="4" fontId="11" fillId="35" borderId="15" xfId="0" applyNumberFormat="1" applyFont="1" applyFill="1" applyBorder="1" applyAlignment="1" applyProtection="1">
      <alignment horizontal="center" vertical="center"/>
    </xf>
    <xf numFmtId="4" fontId="10" fillId="35" borderId="15" xfId="0" applyNumberFormat="1" applyFont="1" applyFill="1" applyBorder="1" applyAlignment="1" applyProtection="1">
      <alignment horizontal="center" vertical="center"/>
    </xf>
    <xf numFmtId="49" fontId="24" fillId="0" borderId="15" xfId="2" applyFont="1" applyFill="1" applyBorder="1" applyAlignment="1" applyProtection="1">
      <alignment horizontal="left" vertical="top" wrapText="1" indent="2"/>
    </xf>
    <xf numFmtId="49" fontId="12" fillId="46" borderId="15" xfId="0" applyNumberFormat="1" applyFont="1" applyFill="1" applyBorder="1" applyAlignment="1" applyProtection="1">
      <alignment horizontal="center" vertical="center"/>
    </xf>
    <xf numFmtId="49" fontId="6" fillId="35" borderId="15" xfId="0" applyNumberFormat="1" applyFont="1" applyFill="1" applyBorder="1" applyAlignment="1" applyProtection="1">
      <alignment horizontal="left" vertical="center" wrapText="1" indent="2"/>
    </xf>
    <xf numFmtId="49" fontId="6" fillId="0" borderId="15" xfId="2" applyNumberFormat="1" applyFont="1" applyFill="1" applyBorder="1" applyAlignment="1" applyProtection="1">
      <alignment horizontal="left" vertical="center" wrapText="1" indent="1"/>
    </xf>
    <xf numFmtId="0" fontId="24" fillId="0" borderId="15" xfId="2" applyNumberFormat="1" applyFont="1" applyFill="1" applyBorder="1" applyAlignment="1" applyProtection="1">
      <alignment horizontal="left" vertical="center" wrapText="1" indent="3"/>
    </xf>
    <xf numFmtId="9" fontId="11" fillId="35" borderId="15" xfId="0" applyNumberFormat="1" applyFont="1" applyFill="1" applyBorder="1" applyAlignment="1" applyProtection="1">
      <alignment horizontal="center" vertical="center"/>
    </xf>
    <xf numFmtId="9" fontId="10" fillId="35" borderId="15" xfId="0" applyNumberFormat="1" applyFont="1" applyFill="1" applyBorder="1" applyAlignment="1" applyProtection="1">
      <alignment horizontal="center" vertical="center"/>
    </xf>
    <xf numFmtId="49" fontId="6" fillId="36" borderId="15" xfId="0" applyNumberFormat="1" applyFont="1" applyFill="1" applyBorder="1" applyAlignment="1" applyProtection="1">
      <alignment horizontal="left" vertical="center" wrapText="1" indent="1"/>
    </xf>
    <xf numFmtId="0" fontId="24" fillId="0" borderId="15" xfId="2" applyNumberFormat="1" applyFont="1" applyFill="1" applyBorder="1" applyAlignment="1" applyProtection="1">
      <alignment horizontal="left" vertical="center" wrapText="1" indent="2"/>
    </xf>
    <xf numFmtId="0" fontId="6" fillId="0" borderId="15" xfId="0" applyNumberFormat="1" applyFont="1" applyFill="1" applyBorder="1" applyAlignment="1" applyProtection="1">
      <alignment horizontal="left" vertical="center" wrapText="1" indent="3"/>
    </xf>
    <xf numFmtId="0" fontId="24" fillId="0" borderId="15" xfId="2" applyNumberFormat="1" applyFont="1" applyFill="1" applyBorder="1" applyAlignment="1" applyProtection="1">
      <alignment horizontal="left" vertical="center" wrapText="1" indent="4"/>
    </xf>
    <xf numFmtId="49" fontId="12" fillId="42" borderId="15" xfId="0" applyNumberFormat="1" applyFont="1" applyFill="1" applyBorder="1" applyAlignment="1" applyProtection="1">
      <alignment horizontal="center" vertical="center"/>
    </xf>
    <xf numFmtId="49" fontId="6" fillId="47" borderId="15" xfId="2" applyFont="1" applyFill="1" applyBorder="1" applyAlignment="1" applyProtection="1">
      <alignment horizontal="left" vertical="center" wrapText="1" indent="1"/>
    </xf>
    <xf numFmtId="49" fontId="6" fillId="47" borderId="15" xfId="2" applyFont="1" applyFill="1" applyBorder="1" applyAlignment="1" applyProtection="1">
      <alignment horizontal="left" vertical="center" wrapText="1" indent="2"/>
    </xf>
    <xf numFmtId="49" fontId="6" fillId="35" borderId="15" xfId="0" applyNumberFormat="1" applyFont="1" applyFill="1" applyBorder="1" applyAlignment="1" applyProtection="1">
      <alignment horizontal="left" vertical="center" wrapText="1" indent="1"/>
    </xf>
    <xf numFmtId="4" fontId="6" fillId="35" borderId="15" xfId="0" applyNumberFormat="1" applyFont="1" applyFill="1" applyBorder="1" applyAlignment="1" applyProtection="1">
      <alignment horizontal="right" vertical="center"/>
    </xf>
    <xf numFmtId="4" fontId="11" fillId="35" borderId="15" xfId="0" applyNumberFormat="1" applyFont="1" applyFill="1" applyBorder="1" applyAlignment="1" applyProtection="1">
      <alignment horizontal="center" vertical="top"/>
    </xf>
    <xf numFmtId="4" fontId="10" fillId="35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>
      <alignment horizontal="left" vertical="center" wrapText="1" inden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 wrapText="1" indent="2"/>
    </xf>
    <xf numFmtId="0" fontId="6" fillId="0" borderId="15" xfId="0" applyNumberFormat="1" applyFont="1" applyFill="1" applyBorder="1" applyAlignment="1">
      <alignment horizontal="left" vertical="center" wrapText="1" indent="2"/>
    </xf>
    <xf numFmtId="49" fontId="6" fillId="33" borderId="15" xfId="0" applyNumberFormat="1" applyFont="1" applyFill="1" applyBorder="1" applyAlignment="1" applyProtection="1">
      <alignment horizontal="left" vertical="center" wrapText="1" indent="1"/>
    </xf>
    <xf numFmtId="49" fontId="6" fillId="0" borderId="15" xfId="0" applyNumberFormat="1" applyFont="1" applyFill="1" applyBorder="1" applyAlignment="1">
      <alignment horizontal="left" vertical="center" wrapText="1" indent="3"/>
    </xf>
    <xf numFmtId="49" fontId="6" fillId="0" borderId="15" xfId="0" applyNumberFormat="1" applyFont="1" applyFill="1" applyBorder="1" applyAlignment="1" applyProtection="1">
      <alignment horizontal="left" vertical="center" wrapText="1" indent="1"/>
    </xf>
    <xf numFmtId="49" fontId="11" fillId="35" borderId="15" xfId="0" applyNumberFormat="1" applyFont="1" applyFill="1" applyBorder="1" applyAlignment="1" applyProtection="1">
      <alignment horizontal="center" vertical="center" wrapText="1"/>
    </xf>
    <xf numFmtId="49" fontId="10" fillId="35" borderId="15" xfId="0" applyNumberFormat="1" applyFont="1" applyFill="1" applyBorder="1" applyAlignment="1" applyProtection="1">
      <alignment horizontal="center" vertical="center" wrapText="1"/>
    </xf>
    <xf numFmtId="49" fontId="12" fillId="37" borderId="15" xfId="0" applyNumberFormat="1" applyFont="1" applyFill="1" applyBorder="1" applyAlignment="1" applyProtection="1">
      <alignment horizontal="left" vertical="center" wrapText="1" indent="1"/>
    </xf>
    <xf numFmtId="4" fontId="11" fillId="34" borderId="15" xfId="0" quotePrefix="1" applyNumberFormat="1" applyFont="1" applyFill="1" applyBorder="1" applyAlignment="1" applyProtection="1">
      <alignment horizontal="center" vertical="center"/>
    </xf>
    <xf numFmtId="4" fontId="10" fillId="34" borderId="15" xfId="0" quotePrefix="1" applyNumberFormat="1" applyFont="1" applyFill="1" applyBorder="1" applyAlignment="1" applyProtection="1">
      <alignment horizontal="center" vertical="center"/>
    </xf>
    <xf numFmtId="49" fontId="12" fillId="42" borderId="15" xfId="0" applyNumberFormat="1" applyFont="1" applyFill="1" applyBorder="1" applyAlignment="1" applyProtection="1">
      <alignment horizontal="left" vertical="center" wrapText="1" indent="1"/>
    </xf>
    <xf numFmtId="49" fontId="12" fillId="39" borderId="15" xfId="0" applyNumberFormat="1" applyFont="1" applyFill="1" applyBorder="1" applyAlignment="1" applyProtection="1">
      <alignment horizontal="left" vertical="center" wrapText="1" indent="1"/>
    </xf>
    <xf numFmtId="49" fontId="12" fillId="45" borderId="15" xfId="0" applyNumberFormat="1" applyFont="1" applyFill="1" applyBorder="1" applyAlignment="1" applyProtection="1">
      <alignment horizontal="left" vertical="center" wrapText="1" indent="1"/>
    </xf>
    <xf numFmtId="49" fontId="12" fillId="46" borderId="15" xfId="0" applyNumberFormat="1" applyFont="1" applyFill="1" applyBorder="1" applyAlignment="1" applyProtection="1">
      <alignment horizontal="left" vertical="center" wrapText="1" indent="1"/>
    </xf>
    <xf numFmtId="49" fontId="13" fillId="33" borderId="15" xfId="0" applyNumberFormat="1" applyFont="1" applyFill="1" applyBorder="1" applyAlignment="1" applyProtection="1">
      <alignment horizontal="center" vertical="center" wrapText="1"/>
    </xf>
    <xf numFmtId="4" fontId="25" fillId="34" borderId="15" xfId="0" applyNumberFormat="1" applyFont="1" applyFill="1" applyBorder="1" applyAlignment="1" applyProtection="1">
      <alignment horizontal="center" vertical="center"/>
    </xf>
    <xf numFmtId="4" fontId="26" fillId="34" borderId="15" xfId="0" applyNumberFormat="1" applyFont="1" applyFill="1" applyBorder="1" applyAlignment="1" applyProtection="1">
      <alignment horizontal="center" vertical="center"/>
    </xf>
    <xf numFmtId="4" fontId="22" fillId="34" borderId="15" xfId="0" quotePrefix="1" applyNumberFormat="1" applyFont="1" applyFill="1" applyBorder="1" applyAlignment="1" applyProtection="1">
      <alignment horizontal="center" vertical="center"/>
    </xf>
    <xf numFmtId="4" fontId="26" fillId="34" borderId="15" xfId="0" quotePrefix="1" applyNumberFormat="1" applyFont="1" applyFill="1" applyBorder="1" applyAlignment="1" applyProtection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indent="1"/>
    </xf>
    <xf numFmtId="0" fontId="13" fillId="33" borderId="15" xfId="0" applyNumberFormat="1" applyFont="1" applyFill="1" applyBorder="1" applyAlignment="1" applyProtection="1">
      <alignment horizontal="left" vertical="center" wrapText="1" indent="1"/>
    </xf>
    <xf numFmtId="0" fontId="6" fillId="33" borderId="15" xfId="0" applyNumberFormat="1" applyFont="1" applyFill="1" applyBorder="1" applyAlignment="1" applyProtection="1">
      <alignment horizontal="right" vertical="center" wrapText="1" indent="1"/>
    </xf>
    <xf numFmtId="4" fontId="0" fillId="0" borderId="0" xfId="0" applyNumberFormat="1" applyAlignment="1">
      <alignment horizontal="center"/>
    </xf>
    <xf numFmtId="0" fontId="6" fillId="33" borderId="0" xfId="0" applyNumberFormat="1" applyFont="1" applyFill="1" applyBorder="1" applyAlignment="1" applyProtection="1">
      <alignment horizontal="right" vertical="center" wrapText="1" inden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34" borderId="25" xfId="0" applyNumberFormat="1" applyFont="1" applyFill="1" applyBorder="1" applyAlignment="1" applyProtection="1">
      <alignment horizontal="center" vertical="center" wrapText="1"/>
    </xf>
    <xf numFmtId="0" fontId="9" fillId="34" borderId="25" xfId="0" applyNumberFormat="1" applyFont="1" applyFill="1" applyBorder="1" applyAlignment="1" applyProtection="1">
      <alignment horizontal="center" vertical="center" wrapText="1"/>
    </xf>
    <xf numFmtId="0" fontId="6" fillId="33" borderId="15" xfId="0" applyNumberFormat="1" applyFont="1" applyFill="1" applyBorder="1" applyAlignment="1" applyProtection="1">
      <alignment horizontal="left" vertical="center" wrapText="1"/>
    </xf>
    <xf numFmtId="0" fontId="6" fillId="48" borderId="20" xfId="0" applyNumberFormat="1" applyFont="1" applyFill="1" applyBorder="1" applyAlignment="1" applyProtection="1">
      <alignment horizontal="center" vertical="center" wrapText="1"/>
    </xf>
    <xf numFmtId="0" fontId="9" fillId="48" borderId="20" xfId="0" applyNumberFormat="1" applyFont="1" applyFill="1" applyBorder="1" applyAlignment="1" applyProtection="1">
      <alignment horizontal="center" vertical="center" wrapText="1"/>
    </xf>
    <xf numFmtId="0" fontId="6" fillId="34" borderId="20" xfId="0" applyNumberFormat="1" applyFont="1" applyFill="1" applyBorder="1" applyAlignment="1" applyProtection="1">
      <alignment horizontal="center" vertical="center" wrapText="1"/>
    </xf>
    <xf numFmtId="4" fontId="11" fillId="34" borderId="27" xfId="0" applyNumberFormat="1" applyFont="1" applyFill="1" applyBorder="1" applyAlignment="1" applyProtection="1">
      <alignment horizontal="center" vertical="center"/>
    </xf>
    <xf numFmtId="3" fontId="6" fillId="0" borderId="15" xfId="0" applyNumberFormat="1" applyFont="1" applyFill="1" applyBorder="1" applyAlignment="1" applyProtection="1">
      <alignment horizontal="right" vertical="center" wrapText="1" indent="4"/>
    </xf>
    <xf numFmtId="49" fontId="20" fillId="42" borderId="15" xfId="0" applyNumberFormat="1" applyFont="1" applyFill="1" applyBorder="1" applyAlignment="1" applyProtection="1">
      <alignment horizontal="center" vertical="center" wrapText="1"/>
    </xf>
    <xf numFmtId="4" fontId="21" fillId="34" borderId="27" xfId="0" applyNumberFormat="1" applyFont="1" applyFill="1" applyBorder="1" applyAlignment="1" applyProtection="1">
      <alignment horizontal="center" vertical="center"/>
    </xf>
    <xf numFmtId="0" fontId="6" fillId="33" borderId="15" xfId="0" applyNumberFormat="1" applyFont="1" applyFill="1" applyBorder="1" applyAlignment="1" applyProtection="1">
      <alignment horizontal="left" vertical="center" wrapText="1" indent="3"/>
    </xf>
    <xf numFmtId="4" fontId="21" fillId="5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11" fillId="51" borderId="15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5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49" fontId="32" fillId="36" borderId="15" xfId="0" applyNumberFormat="1" applyFont="1" applyFill="1" applyBorder="1" applyAlignment="1" applyProtection="1">
      <alignment horizontal="right" vertical="center" wrapText="1"/>
    </xf>
    <xf numFmtId="2" fontId="33" fillId="44" borderId="15" xfId="0" applyNumberFormat="1" applyFont="1" applyFill="1" applyBorder="1" applyAlignment="1" applyProtection="1">
      <alignment horizontal="center" vertical="center" wrapText="1"/>
    </xf>
    <xf numFmtId="2" fontId="13" fillId="44" borderId="15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2" fontId="9" fillId="0" borderId="15" xfId="0" applyNumberFormat="1" applyFont="1" applyFill="1" applyBorder="1" applyAlignment="1" applyProtection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/>
    </xf>
    <xf numFmtId="4" fontId="22" fillId="34" borderId="15" xfId="0" applyNumberFormat="1" applyFont="1" applyFill="1" applyBorder="1" applyAlignment="1" applyProtection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4" fontId="13" fillId="34" borderId="15" xfId="0" applyNumberFormat="1" applyFont="1" applyFill="1" applyBorder="1" applyAlignment="1" applyProtection="1">
      <alignment horizontal="center" vertical="center" wrapText="1"/>
    </xf>
    <xf numFmtId="2" fontId="33" fillId="34" borderId="15" xfId="0" applyNumberFormat="1" applyFont="1" applyFill="1" applyBorder="1" applyAlignment="1" applyProtection="1">
      <alignment horizontal="center" vertical="center" wrapText="1"/>
    </xf>
    <xf numFmtId="2" fontId="13" fillId="34" borderId="15" xfId="0" applyNumberFormat="1" applyFont="1" applyFill="1" applyBorder="1" applyAlignment="1" applyProtection="1">
      <alignment horizontal="center" vertical="center" wrapText="1"/>
    </xf>
    <xf numFmtId="49" fontId="32" fillId="36" borderId="15" xfId="0" applyNumberFormat="1" applyFont="1" applyFill="1" applyBorder="1" applyAlignment="1" applyProtection="1">
      <alignment horizontal="left" vertical="center" wrapText="1"/>
    </xf>
    <xf numFmtId="4" fontId="13" fillId="36" borderId="15" xfId="0" applyNumberFormat="1" applyFont="1" applyFill="1" applyBorder="1" applyAlignment="1" applyProtection="1">
      <alignment horizontal="center" vertical="center" wrapText="1"/>
    </xf>
    <xf numFmtId="4" fontId="30" fillId="36" borderId="15" xfId="0" applyNumberFormat="1" applyFont="1" applyFill="1" applyBorder="1" applyAlignment="1" applyProtection="1">
      <alignment horizontal="center" vertical="center" wrapText="1"/>
    </xf>
    <xf numFmtId="4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52" borderId="15" xfId="0" applyNumberFormat="1" applyFont="1" applyFill="1" applyBorder="1" applyAlignment="1" applyProtection="1">
      <alignment vertical="center" wrapText="1"/>
    </xf>
    <xf numFmtId="166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167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30" fillId="36" borderId="15" xfId="0" applyNumberFormat="1" applyFont="1" applyFill="1" applyBorder="1" applyAlignment="1" applyProtection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34" borderId="15" xfId="0" applyNumberFormat="1" applyFont="1" applyFill="1" applyBorder="1" applyAlignment="1" applyProtection="1">
      <alignment horizontal="center" vertical="center" wrapText="1"/>
    </xf>
    <xf numFmtId="4" fontId="34" fillId="34" borderId="15" xfId="0" applyNumberFormat="1" applyFont="1" applyFill="1" applyBorder="1" applyAlignment="1" applyProtection="1">
      <alignment horizontal="center" vertical="center" wrapText="1"/>
    </xf>
    <xf numFmtId="10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4" fontId="13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33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33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15" xfId="0" applyNumberFormat="1" applyFont="1" applyFill="1" applyBorder="1" applyAlignment="1" applyProtection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4" fontId="3" fillId="54" borderId="0" xfId="0" applyNumberFormat="1" applyFont="1" applyFill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10" fontId="38" fillId="0" borderId="15" xfId="0" applyNumberFormat="1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2" fontId="39" fillId="0" borderId="15" xfId="0" applyNumberFormat="1" applyFont="1" applyBorder="1" applyAlignment="1">
      <alignment wrapText="1"/>
    </xf>
    <xf numFmtId="2" fontId="38" fillId="0" borderId="15" xfId="0" applyNumberFormat="1" applyFont="1" applyBorder="1" applyAlignment="1">
      <alignment wrapText="1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/>
    <xf numFmtId="0" fontId="40" fillId="0" borderId="15" xfId="0" applyFont="1" applyBorder="1"/>
    <xf numFmtId="2" fontId="41" fillId="0" borderId="15" xfId="0" applyNumberFormat="1" applyFont="1" applyBorder="1"/>
    <xf numFmtId="2" fontId="41" fillId="54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/>
    <xf numFmtId="2" fontId="0" fillId="0" borderId="15" xfId="0" applyNumberFormat="1" applyBorder="1" applyAlignment="1">
      <alignment vertical="center"/>
    </xf>
    <xf numFmtId="2" fontId="35" fillId="0" borderId="15" xfId="0" applyNumberFormat="1" applyFont="1" applyBorder="1"/>
    <xf numFmtId="2" fontId="35" fillId="0" borderId="15" xfId="0" applyNumberFormat="1" applyFont="1" applyBorder="1" applyAlignment="1">
      <alignment vertical="center"/>
    </xf>
    <xf numFmtId="168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35" fillId="0" borderId="15" xfId="0" applyNumberFormat="1" applyFont="1" applyBorder="1" applyAlignment="1">
      <alignment wrapText="1"/>
    </xf>
    <xf numFmtId="0" fontId="31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5" xfId="3" applyNumberFormat="1" applyFont="1" applyBorder="1" applyAlignment="1">
      <alignment horizontal="center"/>
    </xf>
    <xf numFmtId="0" fontId="0" fillId="54" borderId="15" xfId="0" applyFill="1" applyBorder="1" applyAlignment="1">
      <alignment vertical="center"/>
    </xf>
    <xf numFmtId="10" fontId="0" fillId="0" borderId="15" xfId="3" applyNumberFormat="1" applyFont="1" applyBorder="1" applyAlignment="1">
      <alignment horizontal="center"/>
    </xf>
    <xf numFmtId="10" fontId="0" fillId="0" borderId="15" xfId="0" applyNumberFormat="1" applyBorder="1" applyAlignment="1">
      <alignment vertical="center"/>
    </xf>
    <xf numFmtId="2" fontId="0" fillId="54" borderId="15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4" fontId="20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48" borderId="15" xfId="0" applyNumberFormat="1" applyFont="1" applyFill="1" applyBorder="1" applyAlignment="1" applyProtection="1">
      <alignment horizontal="center" vertical="center" wrapText="1"/>
    </xf>
    <xf numFmtId="43" fontId="0" fillId="0" borderId="0" xfId="1" applyFont="1" applyBorder="1" applyAlignment="1">
      <alignment vertical="center"/>
    </xf>
    <xf numFmtId="2" fontId="5" fillId="0" borderId="0" xfId="1" applyNumberFormat="1" applyFont="1" applyBorder="1" applyAlignment="1">
      <alignment vertical="center"/>
    </xf>
    <xf numFmtId="2" fontId="0" fillId="0" borderId="0" xfId="1" applyNumberFormat="1" applyFont="1" applyBorder="1" applyAlignment="1">
      <alignment vertical="center"/>
    </xf>
    <xf numFmtId="2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43" fontId="3" fillId="54" borderId="0" xfId="1" applyFont="1" applyFill="1" applyAlignment="1">
      <alignment vertical="center"/>
    </xf>
    <xf numFmtId="2" fontId="5" fillId="0" borderId="0" xfId="1" applyNumberFormat="1" applyFont="1" applyAlignment="1">
      <alignment vertical="center"/>
    </xf>
    <xf numFmtId="2" fontId="42" fillId="0" borderId="15" xfId="0" applyNumberFormat="1" applyFont="1" applyBorder="1" applyAlignment="1">
      <alignment wrapText="1"/>
    </xf>
    <xf numFmtId="2" fontId="3" fillId="0" borderId="15" xfId="0" applyNumberFormat="1" applyFont="1" applyBorder="1"/>
    <xf numFmtId="2" fontId="3" fillId="0" borderId="15" xfId="0" applyNumberFormat="1" applyFont="1" applyBorder="1" applyAlignment="1">
      <alignment wrapText="1"/>
    </xf>
    <xf numFmtId="43" fontId="0" fillId="0" borderId="0" xfId="0" applyNumberFormat="1" applyAlignment="1">
      <alignment vertical="center"/>
    </xf>
    <xf numFmtId="0" fontId="231" fillId="0" borderId="0" xfId="0" applyFont="1"/>
    <xf numFmtId="0" fontId="231" fillId="0" borderId="0" xfId="0" applyFont="1" applyAlignment="1">
      <alignment horizontal="center"/>
    </xf>
    <xf numFmtId="0" fontId="6" fillId="0" borderId="52" xfId="0" applyNumberFormat="1" applyFont="1" applyFill="1" applyBorder="1" applyAlignment="1" applyProtection="1">
      <alignment horizontal="center" vertical="center" wrapText="1"/>
    </xf>
    <xf numFmtId="49" fontId="6" fillId="34" borderId="25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49" fontId="233" fillId="0" borderId="28" xfId="0" applyNumberFormat="1" applyFont="1" applyFill="1" applyBorder="1" applyAlignment="1"/>
    <xf numFmtId="0" fontId="0" fillId="0" borderId="0" xfId="0" applyFill="1"/>
    <xf numFmtId="49" fontId="31" fillId="0" borderId="25" xfId="0" applyNumberFormat="1" applyFont="1" applyFill="1" applyBorder="1" applyAlignment="1">
      <alignment horizontal="center" vertical="center" wrapText="1"/>
    </xf>
    <xf numFmtId="49" fontId="232" fillId="0" borderId="25" xfId="0" applyNumberFormat="1" applyFont="1" applyFill="1" applyBorder="1" applyAlignment="1">
      <alignment horizontal="center" vertical="center" wrapText="1"/>
    </xf>
    <xf numFmtId="2" fontId="232" fillId="139" borderId="25" xfId="0" applyNumberFormat="1" applyFont="1" applyFill="1" applyBorder="1" applyAlignment="1">
      <alignment vertical="center" wrapText="1"/>
    </xf>
    <xf numFmtId="2" fontId="232" fillId="139" borderId="38" xfId="0" applyNumberFormat="1" applyFont="1" applyFill="1" applyBorder="1" applyAlignment="1">
      <alignment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vertical="center" wrapText="1"/>
    </xf>
    <xf numFmtId="2" fontId="0" fillId="0" borderId="20" xfId="0" applyNumberFormat="1" applyBorder="1" applyAlignment="1">
      <alignment vertical="center" wrapText="1"/>
    </xf>
    <xf numFmtId="4" fontId="11" fillId="38" borderId="62" xfId="0" applyNumberFormat="1" applyFont="1" applyFill="1" applyBorder="1" applyAlignment="1" applyProtection="1">
      <alignment horizontal="center" vertical="center"/>
      <protection locked="0"/>
    </xf>
    <xf numFmtId="4" fontId="0" fillId="140" borderId="15" xfId="0" applyNumberFormat="1" applyFill="1" applyBorder="1" applyAlignment="1">
      <alignment horizontal="center" vertical="center" wrapText="1"/>
    </xf>
    <xf numFmtId="4" fontId="0" fillId="141" borderId="16" xfId="0" applyNumberFormat="1" applyFill="1" applyBorder="1" applyAlignment="1">
      <alignment horizontal="center" vertical="center" wrapText="1"/>
    </xf>
    <xf numFmtId="2" fontId="232" fillId="140" borderId="15" xfId="0" applyNumberFormat="1" applyFont="1" applyFill="1" applyBorder="1" applyAlignment="1">
      <alignment vertical="center" wrapText="1"/>
    </xf>
    <xf numFmtId="2" fontId="232" fillId="140" borderId="20" xfId="0" applyNumberFormat="1" applyFont="1" applyFill="1" applyBorder="1" applyAlignment="1">
      <alignment vertical="center" wrapText="1"/>
    </xf>
    <xf numFmtId="4" fontId="22" fillId="34" borderId="62" xfId="0" applyNumberFormat="1" applyFont="1" applyFill="1" applyBorder="1" applyAlignment="1" applyProtection="1">
      <alignment horizontal="center" vertical="center" wrapText="1"/>
    </xf>
    <xf numFmtId="4" fontId="22" fillId="34" borderId="16" xfId="0" applyNumberFormat="1" applyFont="1" applyFill="1" applyBorder="1" applyAlignment="1" applyProtection="1">
      <alignment horizontal="center" vertical="center" wrapText="1"/>
    </xf>
    <xf numFmtId="2" fontId="232" fillId="0" borderId="15" xfId="0" applyNumberFormat="1" applyFont="1" applyBorder="1" applyAlignment="1">
      <alignment vertical="center" wrapText="1"/>
    </xf>
    <xf numFmtId="2" fontId="232" fillId="0" borderId="20" xfId="0" applyNumberFormat="1" applyFont="1" applyBorder="1" applyAlignment="1">
      <alignment vertical="center" wrapText="1"/>
    </xf>
    <xf numFmtId="4" fontId="32" fillId="36" borderId="62" xfId="0" applyNumberFormat="1" applyFont="1" applyFill="1" applyBorder="1" applyAlignment="1" applyProtection="1">
      <alignment horizontal="center" vertical="center" wrapText="1"/>
    </xf>
    <xf numFmtId="4" fontId="32" fillId="36" borderId="15" xfId="0" applyNumberFormat="1" applyFont="1" applyFill="1" applyBorder="1" applyAlignment="1" applyProtection="1">
      <alignment horizontal="center" vertical="center" wrapText="1"/>
    </xf>
    <xf numFmtId="4" fontId="32" fillId="36" borderId="16" xfId="0" applyNumberFormat="1" applyFont="1" applyFill="1" applyBorder="1" applyAlignment="1" applyProtection="1">
      <alignment horizontal="center" vertical="center" wrapText="1"/>
    </xf>
    <xf numFmtId="49" fontId="31" fillId="0" borderId="15" xfId="0" applyNumberFormat="1" applyFont="1" applyFill="1" applyBorder="1" applyAlignment="1">
      <alignment vertical="center" wrapText="1"/>
    </xf>
    <xf numFmtId="165" fontId="0" fillId="0" borderId="15" xfId="0" applyNumberFormat="1" applyBorder="1" applyAlignment="1">
      <alignment vertical="center" wrapText="1"/>
    </xf>
    <xf numFmtId="165" fontId="0" fillId="0" borderId="20" xfId="0" applyNumberFormat="1" applyBorder="1" applyAlignment="1">
      <alignment vertical="center" wrapText="1"/>
    </xf>
    <xf numFmtId="4" fontId="0" fillId="0" borderId="62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3" fontId="0" fillId="140" borderId="15" xfId="0" applyNumberFormat="1" applyFill="1" applyBorder="1" applyAlignment="1">
      <alignment horizontal="center" vertical="center" wrapText="1"/>
    </xf>
    <xf numFmtId="3" fontId="0" fillId="141" borderId="16" xfId="0" applyNumberFormat="1" applyFill="1" applyBorder="1" applyAlignment="1">
      <alignment horizontal="center" vertical="center" wrapText="1"/>
    </xf>
    <xf numFmtId="168" fontId="0" fillId="0" borderId="15" xfId="0" applyNumberFormat="1" applyBorder="1" applyAlignment="1">
      <alignment vertical="center" wrapText="1"/>
    </xf>
    <xf numFmtId="168" fontId="0" fillId="0" borderId="20" xfId="0" applyNumberFormat="1" applyBorder="1" applyAlignment="1">
      <alignment vertical="center" wrapText="1"/>
    </xf>
    <xf numFmtId="10" fontId="0" fillId="0" borderId="15" xfId="0" applyNumberFormat="1" applyFill="1" applyBorder="1" applyAlignment="1">
      <alignment vertical="center" wrapText="1"/>
    </xf>
    <xf numFmtId="10" fontId="0" fillId="0" borderId="20" xfId="0" applyNumberFormat="1" applyFill="1" applyBorder="1" applyAlignment="1">
      <alignment vertical="center" wrapText="1"/>
    </xf>
    <xf numFmtId="164" fontId="0" fillId="0" borderId="62" xfId="0" applyNumberFormat="1" applyFill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right" vertical="center" wrapText="1"/>
    </xf>
    <xf numFmtId="2" fontId="0" fillId="0" borderId="20" xfId="0" applyNumberFormat="1" applyFill="1" applyBorder="1" applyAlignment="1">
      <alignment horizontal="right" vertical="center" wrapText="1"/>
    </xf>
    <xf numFmtId="4" fontId="235" fillId="34" borderId="15" xfId="0" applyNumberFormat="1" applyFont="1" applyFill="1" applyBorder="1" applyAlignment="1" applyProtection="1">
      <alignment horizontal="left" vertical="center" wrapText="1"/>
    </xf>
    <xf numFmtId="2" fontId="232" fillId="139" borderId="15" xfId="0" applyNumberFormat="1" applyFont="1" applyFill="1" applyBorder="1" applyAlignment="1">
      <alignment vertical="center" wrapText="1"/>
    </xf>
    <xf numFmtId="2" fontId="232" fillId="139" borderId="20" xfId="0" applyNumberFormat="1" applyFont="1" applyFill="1" applyBorder="1" applyAlignment="1">
      <alignment vertical="center" wrapText="1"/>
    </xf>
    <xf numFmtId="4" fontId="11" fillId="34" borderId="62" xfId="0" applyNumberFormat="1" applyFont="1" applyFill="1" applyBorder="1" applyAlignment="1" applyProtection="1">
      <alignment horizontal="center" vertical="center" wrapText="1"/>
    </xf>
    <xf numFmtId="4" fontId="11" fillId="34" borderId="15" xfId="0" applyNumberFormat="1" applyFont="1" applyFill="1" applyBorder="1" applyAlignment="1" applyProtection="1">
      <alignment horizontal="center" vertical="center" wrapText="1"/>
    </xf>
    <xf numFmtId="4" fontId="11" fillId="34" borderId="16" xfId="0" applyNumberFormat="1" applyFont="1" applyFill="1" applyBorder="1" applyAlignment="1" applyProtection="1">
      <alignment horizontal="center" vertical="center" wrapText="1"/>
    </xf>
    <xf numFmtId="4" fontId="14" fillId="34" borderId="27" xfId="0" applyNumberFormat="1" applyFont="1" applyFill="1" applyBorder="1" applyAlignment="1" applyProtection="1">
      <alignment horizontal="left" vertical="center" wrapText="1"/>
    </xf>
    <xf numFmtId="2" fontId="232" fillId="0" borderId="15" xfId="0" applyNumberFormat="1" applyFont="1" applyFill="1" applyBorder="1" applyAlignment="1">
      <alignment vertical="center" wrapText="1"/>
    </xf>
    <xf numFmtId="2" fontId="232" fillId="0" borderId="20" xfId="0" applyNumberFormat="1" applyFont="1" applyFill="1" applyBorder="1" applyAlignment="1">
      <alignment vertical="center" wrapText="1"/>
    </xf>
    <xf numFmtId="4" fontId="232" fillId="140" borderId="15" xfId="0" applyNumberFormat="1" applyFont="1" applyFill="1" applyBorder="1" applyAlignment="1">
      <alignment horizontal="center" vertical="center" wrapText="1"/>
    </xf>
    <xf numFmtId="4" fontId="232" fillId="141" borderId="16" xfId="0" applyNumberFormat="1" applyFont="1" applyFill="1" applyBorder="1" applyAlignment="1">
      <alignment horizontal="center" vertical="center" wrapText="1"/>
    </xf>
    <xf numFmtId="4" fontId="0" fillId="140" borderId="15" xfId="0" applyNumberFormat="1" applyFont="1" applyFill="1" applyBorder="1" applyAlignment="1">
      <alignment horizontal="center" vertical="center" wrapText="1"/>
    </xf>
    <xf numFmtId="4" fontId="0" fillId="141" borderId="16" xfId="0" applyNumberFormat="1" applyFont="1" applyFill="1" applyBorder="1" applyAlignment="1">
      <alignment horizontal="center" vertical="center" wrapText="1"/>
    </xf>
    <xf numFmtId="4" fontId="7" fillId="142" borderId="15" xfId="0" applyNumberFormat="1" applyFont="1" applyFill="1" applyBorder="1" applyAlignment="1" applyProtection="1">
      <alignment horizontal="left" vertical="center" wrapText="1"/>
    </xf>
    <xf numFmtId="0" fontId="232" fillId="0" borderId="15" xfId="0" applyFont="1" applyFill="1" applyBorder="1" applyAlignment="1">
      <alignment horizontal="center" vertical="center" wrapText="1"/>
    </xf>
    <xf numFmtId="4" fontId="22" fillId="142" borderId="15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31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4" fontId="236" fillId="34" borderId="15" xfId="0" applyNumberFormat="1" applyFont="1" applyFill="1" applyBorder="1" applyAlignment="1" applyProtection="1">
      <alignment horizontal="left" vertical="center" wrapText="1"/>
    </xf>
    <xf numFmtId="0" fontId="0" fillId="0" borderId="15" xfId="0" applyFill="1" applyBorder="1"/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78" fillId="131" borderId="15" xfId="0" applyFont="1" applyFill="1" applyBorder="1" applyAlignment="1">
      <alignment wrapText="1"/>
    </xf>
    <xf numFmtId="164" fontId="0" fillId="0" borderId="15" xfId="0" applyNumberFormat="1" applyBorder="1" applyAlignment="1">
      <alignment horizontal="center"/>
    </xf>
    <xf numFmtId="164" fontId="0" fillId="143" borderId="15" xfId="0" applyNumberFormat="1" applyFill="1" applyBorder="1" applyAlignment="1">
      <alignment horizontal="center"/>
    </xf>
    <xf numFmtId="164" fontId="0" fillId="0" borderId="15" xfId="0" applyNumberFormat="1" applyBorder="1"/>
    <xf numFmtId="0" fontId="78" fillId="138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Border="1"/>
    <xf numFmtId="0" fontId="4" fillId="0" borderId="0" xfId="0" applyFont="1" applyAlignment="1">
      <alignment horizontal="center"/>
    </xf>
    <xf numFmtId="4" fontId="237" fillId="38" borderId="15" xfId="0" applyNumberFormat="1" applyFont="1" applyFill="1" applyBorder="1" applyAlignment="1" applyProtection="1">
      <alignment horizontal="center" vertical="center"/>
      <protection locked="0"/>
    </xf>
    <xf numFmtId="4" fontId="237" fillId="34" borderId="15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49" fontId="243" fillId="0" borderId="0" xfId="0" applyNumberFormat="1" applyFont="1" applyFill="1" applyBorder="1" applyAlignment="1"/>
    <xf numFmtId="0" fontId="232" fillId="0" borderId="0" xfId="0" applyFont="1" applyFill="1" applyBorder="1"/>
    <xf numFmtId="0" fontId="23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231" fillId="0" borderId="15" xfId="0" applyNumberFormat="1" applyFont="1" applyFill="1" applyBorder="1" applyAlignment="1">
      <alignment horizontal="center" vertical="center" wrapText="1"/>
    </xf>
    <xf numFmtId="49" fontId="245" fillId="33" borderId="15" xfId="0" applyNumberFormat="1" applyFont="1" applyFill="1" applyBorder="1" applyAlignment="1" applyProtection="1">
      <alignment horizontal="left" vertical="center" wrapText="1" indent="3"/>
    </xf>
    <xf numFmtId="49" fontId="245" fillId="33" borderId="15" xfId="0" applyNumberFormat="1" applyFont="1" applyFill="1" applyBorder="1" applyAlignment="1" applyProtection="1">
      <alignment horizontal="center" vertical="center" wrapText="1"/>
    </xf>
    <xf numFmtId="4" fontId="245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5" xfId="0" applyNumberFormat="1" applyFont="1" applyFill="1" applyBorder="1" applyAlignment="1" applyProtection="1">
      <alignment horizontal="left" vertical="center" wrapText="1" indent="3"/>
    </xf>
    <xf numFmtId="0" fontId="0" fillId="0" borderId="15" xfId="0" applyFill="1" applyBorder="1" applyAlignment="1">
      <alignment horizontal="center"/>
    </xf>
    <xf numFmtId="164" fontId="0" fillId="0" borderId="0" xfId="0" applyNumberFormat="1"/>
    <xf numFmtId="0" fontId="209" fillId="0" borderId="15" xfId="0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/>
    </xf>
    <xf numFmtId="3" fontId="0" fillId="0" borderId="15" xfId="0" applyNumberFormat="1" applyBorder="1"/>
    <xf numFmtId="4" fontId="0" fillId="54" borderId="15" xfId="0" applyNumberFormat="1" applyFill="1" applyBorder="1"/>
    <xf numFmtId="164" fontId="0" fillId="0" borderId="15" xfId="0" applyNumberFormat="1" applyBorder="1" applyAlignment="1">
      <alignment horizontal="right"/>
    </xf>
    <xf numFmtId="0" fontId="82" fillId="0" borderId="0" xfId="10755"/>
    <xf numFmtId="0" fontId="247" fillId="0" borderId="0" xfId="10755" applyFont="1"/>
    <xf numFmtId="0" fontId="248" fillId="0" borderId="15" xfId="10755" applyFont="1" applyBorder="1" applyAlignment="1">
      <alignment vertical="center" wrapText="1"/>
    </xf>
    <xf numFmtId="0" fontId="248" fillId="0" borderId="15" xfId="10755" applyFont="1" applyBorder="1" applyAlignment="1">
      <alignment horizontal="center" vertical="center" wrapText="1"/>
    </xf>
    <xf numFmtId="0" fontId="249" fillId="0" borderId="15" xfId="10755" applyFont="1" applyBorder="1" applyAlignment="1">
      <alignment horizontal="center" vertical="center" wrapText="1"/>
    </xf>
    <xf numFmtId="0" fontId="82" fillId="0" borderId="15" xfId="10755" applyBorder="1"/>
    <xf numFmtId="3" fontId="250" fillId="0" borderId="15" xfId="10755" applyNumberFormat="1" applyFont="1" applyBorder="1" applyAlignment="1">
      <alignment horizontal="right" vertical="center"/>
    </xf>
    <xf numFmtId="4" fontId="251" fillId="0" borderId="15" xfId="10755" applyNumberFormat="1" applyFont="1" applyBorder="1" applyAlignment="1">
      <alignment horizontal="right" vertical="center"/>
    </xf>
    <xf numFmtId="4" fontId="251" fillId="0" borderId="15" xfId="10755" applyNumberFormat="1" applyFont="1" applyBorder="1" applyAlignment="1">
      <alignment horizontal="right" vertical="center" wrapText="1"/>
    </xf>
    <xf numFmtId="4" fontId="250" fillId="0" borderId="15" xfId="10755" applyNumberFormat="1" applyFont="1" applyBorder="1" applyAlignment="1">
      <alignment horizontal="right" vertical="center" wrapText="1"/>
    </xf>
    <xf numFmtId="3" fontId="251" fillId="0" borderId="15" xfId="10755" applyNumberFormat="1" applyFont="1" applyBorder="1" applyAlignment="1">
      <alignment horizontal="right" vertical="center"/>
    </xf>
    <xf numFmtId="4" fontId="252" fillId="0" borderId="15" xfId="10755" applyNumberFormat="1" applyFont="1" applyBorder="1" applyAlignment="1">
      <alignment horizontal="right" vertical="center" wrapText="1"/>
    </xf>
    <xf numFmtId="4" fontId="252" fillId="0" borderId="26" xfId="10755" applyNumberFormat="1" applyFont="1" applyBorder="1" applyAlignment="1">
      <alignment vertical="center" wrapText="1"/>
    </xf>
    <xf numFmtId="0" fontId="252" fillId="0" borderId="25" xfId="10755" applyFont="1" applyBorder="1" applyAlignment="1">
      <alignment vertical="center" wrapText="1"/>
    </xf>
    <xf numFmtId="0" fontId="250" fillId="0" borderId="15" xfId="10755" applyFont="1" applyBorder="1" applyAlignment="1">
      <alignment vertical="center" wrapText="1"/>
    </xf>
    <xf numFmtId="3" fontId="250" fillId="0" borderId="15" xfId="10755" applyNumberFormat="1" applyFont="1" applyBorder="1" applyAlignment="1">
      <alignment horizontal="center" vertical="center"/>
    </xf>
    <xf numFmtId="4" fontId="250" fillId="0" borderId="15" xfId="10755" applyNumberFormat="1" applyFont="1" applyBorder="1" applyAlignment="1">
      <alignment horizontal="left" vertical="center"/>
    </xf>
    <xf numFmtId="4" fontId="251" fillId="0" borderId="15" xfId="10755" applyNumberFormat="1" applyFont="1" applyBorder="1" applyAlignment="1">
      <alignment horizontal="left" vertical="center"/>
    </xf>
    <xf numFmtId="4" fontId="251" fillId="41" borderId="15" xfId="10755" applyNumberFormat="1" applyFont="1" applyFill="1" applyBorder="1" applyAlignment="1">
      <alignment horizontal="right" vertical="center" wrapText="1"/>
    </xf>
    <xf numFmtId="4" fontId="251" fillId="0" borderId="15" xfId="10755" applyNumberFormat="1" applyFont="1" applyBorder="1" applyAlignment="1">
      <alignment horizontal="left" vertical="center" wrapText="1"/>
    </xf>
    <xf numFmtId="0" fontId="82" fillId="144" borderId="0" xfId="10755" applyFill="1"/>
    <xf numFmtId="4" fontId="251" fillId="0" borderId="15" xfId="10755" applyNumberFormat="1" applyFont="1" applyBorder="1" applyAlignment="1">
      <alignment vertical="center" wrapText="1"/>
    </xf>
    <xf numFmtId="4" fontId="251" fillId="0" borderId="15" xfId="10755" applyNumberFormat="1" applyFont="1" applyBorder="1" applyAlignment="1">
      <alignment vertical="center"/>
    </xf>
    <xf numFmtId="4" fontId="82" fillId="144" borderId="0" xfId="10755" applyNumberFormat="1" applyFill="1"/>
    <xf numFmtId="4" fontId="82" fillId="0" borderId="0" xfId="10755" applyNumberFormat="1"/>
    <xf numFmtId="4" fontId="250" fillId="0" borderId="15" xfId="10755" applyNumberFormat="1" applyFont="1" applyBorder="1" applyAlignment="1">
      <alignment vertical="center"/>
    </xf>
    <xf numFmtId="4" fontId="254" fillId="0" borderId="15" xfId="10755" applyNumberFormat="1" applyFont="1" applyBorder="1" applyAlignment="1">
      <alignment horizontal="right" vertical="center" wrapText="1"/>
    </xf>
    <xf numFmtId="4" fontId="254" fillId="41" borderId="15" xfId="10755" applyNumberFormat="1" applyFont="1" applyFill="1" applyBorder="1" applyAlignment="1">
      <alignment horizontal="right" vertical="center" wrapText="1"/>
    </xf>
    <xf numFmtId="4" fontId="250" fillId="0" borderId="15" xfId="10755" applyNumberFormat="1" applyFont="1" applyBorder="1" applyAlignment="1">
      <alignment vertical="center" wrapText="1"/>
    </xf>
    <xf numFmtId="0" fontId="255" fillId="0" borderId="15" xfId="10755" applyFont="1" applyBorder="1" applyAlignment="1">
      <alignment horizontal="right" vertical="center" wrapText="1"/>
    </xf>
    <xf numFmtId="4" fontId="250" fillId="41" borderId="15" xfId="10755" applyNumberFormat="1" applyFont="1" applyFill="1" applyBorder="1" applyAlignment="1">
      <alignment vertical="center"/>
    </xf>
    <xf numFmtId="4" fontId="249" fillId="0" borderId="0" xfId="10755" applyNumberFormat="1" applyFont="1" applyFill="1" applyBorder="1" applyAlignment="1">
      <alignment vertical="center"/>
    </xf>
    <xf numFmtId="4" fontId="250" fillId="41" borderId="15" xfId="10755" applyNumberFormat="1" applyFont="1" applyFill="1" applyBorder="1" applyAlignment="1">
      <alignment horizontal="right" vertical="center" wrapText="1"/>
    </xf>
    <xf numFmtId="0" fontId="238" fillId="0" borderId="0" xfId="10755" applyFont="1" applyAlignment="1">
      <alignment horizontal="center" vertical="center"/>
    </xf>
    <xf numFmtId="0" fontId="241" fillId="0" borderId="23" xfId="10755" applyFont="1" applyBorder="1"/>
    <xf numFmtId="0" fontId="241" fillId="0" borderId="21" xfId="10755" applyFont="1" applyBorder="1"/>
    <xf numFmtId="0" fontId="241" fillId="0" borderId="24" xfId="10755" applyFont="1" applyBorder="1"/>
    <xf numFmtId="0" fontId="239" fillId="0" borderId="61" xfId="10755" applyFont="1" applyBorder="1" applyAlignment="1">
      <alignment vertical="center" wrapText="1"/>
    </xf>
    <xf numFmtId="0" fontId="239" fillId="0" borderId="76" xfId="10755" applyFont="1" applyBorder="1" applyAlignment="1">
      <alignment vertical="center" wrapText="1"/>
    </xf>
    <xf numFmtId="0" fontId="239" fillId="0" borderId="41" xfId="10755" applyFont="1" applyBorder="1" applyAlignment="1">
      <alignment vertical="center" wrapText="1"/>
    </xf>
    <xf numFmtId="0" fontId="82" fillId="0" borderId="77" xfId="10755" applyBorder="1"/>
    <xf numFmtId="0" fontId="241" fillId="0" borderId="78" xfId="10755" applyFont="1" applyBorder="1"/>
    <xf numFmtId="0" fontId="241" fillId="0" borderId="25" xfId="10755" applyFont="1" applyBorder="1"/>
    <xf numFmtId="0" fontId="241" fillId="0" borderId="79" xfId="10755" applyFont="1" applyBorder="1"/>
    <xf numFmtId="0" fontId="239" fillId="0" borderId="76" xfId="10755" applyFont="1" applyBorder="1" applyAlignment="1">
      <alignment horizontal="center" vertical="center" wrapText="1"/>
    </xf>
    <xf numFmtId="0" fontId="239" fillId="0" borderId="77" xfId="10755" applyFont="1" applyBorder="1" applyAlignment="1">
      <alignment horizontal="center" vertical="center" wrapText="1"/>
    </xf>
    <xf numFmtId="4" fontId="239" fillId="54" borderId="77" xfId="10755" applyNumberFormat="1" applyFont="1" applyFill="1" applyBorder="1" applyAlignment="1">
      <alignment horizontal="center" vertical="center" wrapText="1"/>
    </xf>
    <xf numFmtId="4" fontId="241" fillId="0" borderId="62" xfId="10755" applyNumberFormat="1" applyFont="1" applyBorder="1"/>
    <xf numFmtId="4" fontId="241" fillId="0" borderId="15" xfId="10755" applyNumberFormat="1" applyFont="1" applyBorder="1"/>
    <xf numFmtId="4" fontId="241" fillId="0" borderId="16" xfId="10755" applyNumberFormat="1" applyFont="1" applyBorder="1"/>
    <xf numFmtId="0" fontId="239" fillId="0" borderId="80" xfId="10755" applyFont="1" applyBorder="1" applyAlignment="1">
      <alignment vertical="center" wrapText="1"/>
    </xf>
    <xf numFmtId="0" fontId="239" fillId="0" borderId="81" xfId="10755" applyFont="1" applyBorder="1" applyAlignment="1">
      <alignment horizontal="center" vertical="center" wrapText="1"/>
    </xf>
    <xf numFmtId="0" fontId="239" fillId="0" borderId="47" xfId="10755" applyFont="1" applyBorder="1" applyAlignment="1">
      <alignment horizontal="center" vertical="center" wrapText="1"/>
    </xf>
    <xf numFmtId="4" fontId="239" fillId="0" borderId="77" xfId="10755" applyNumberFormat="1" applyFont="1" applyBorder="1" applyAlignment="1">
      <alignment horizontal="center" vertical="center" wrapText="1"/>
    </xf>
    <xf numFmtId="0" fontId="239" fillId="0" borderId="41" xfId="10755" applyFont="1" applyBorder="1" applyAlignment="1">
      <alignment horizontal="center" vertical="center" wrapText="1"/>
    </xf>
    <xf numFmtId="0" fontId="82" fillId="0" borderId="82" xfId="10755" applyBorder="1"/>
    <xf numFmtId="0" fontId="1" fillId="0" borderId="0" xfId="10755" applyFont="1" applyAlignment="1">
      <alignment vertical="center"/>
    </xf>
    <xf numFmtId="0" fontId="8" fillId="0" borderId="63" xfId="0" applyFont="1" applyBorder="1" applyAlignment="1">
      <alignment horizontal="center"/>
    </xf>
    <xf numFmtId="0" fontId="6" fillId="0" borderId="83" xfId="0" applyNumberFormat="1" applyFont="1" applyFill="1" applyBorder="1" applyAlignment="1" applyProtection="1">
      <alignment horizontal="center" vertical="center" wrapText="1"/>
    </xf>
    <xf numFmtId="0" fontId="6" fillId="0" borderId="67" xfId="0" applyNumberFormat="1" applyFont="1" applyFill="1" applyBorder="1" applyAlignment="1" applyProtection="1">
      <alignment horizontal="center" vertical="center" wrapText="1"/>
    </xf>
    <xf numFmtId="0" fontId="256" fillId="0" borderId="0" xfId="0" applyFont="1"/>
    <xf numFmtId="0" fontId="256" fillId="0" borderId="15" xfId="0" applyFont="1" applyBorder="1"/>
    <xf numFmtId="0" fontId="256" fillId="0" borderId="15" xfId="0" applyFont="1" applyBorder="1" applyAlignment="1">
      <alignment horizontal="center" wrapText="1"/>
    </xf>
    <xf numFmtId="0" fontId="256" fillId="0" borderId="15" xfId="0" applyFont="1" applyBorder="1" applyAlignment="1">
      <alignment horizontal="center" vertical="center" wrapText="1"/>
    </xf>
    <xf numFmtId="43" fontId="256" fillId="0" borderId="15" xfId="0" applyNumberFormat="1" applyFont="1" applyFill="1" applyBorder="1" applyAlignment="1">
      <alignment horizontal="center" wrapText="1"/>
    </xf>
    <xf numFmtId="0" fontId="256" fillId="0" borderId="15" xfId="0" applyFont="1" applyBorder="1" applyAlignment="1">
      <alignment wrapText="1"/>
    </xf>
    <xf numFmtId="43" fontId="256" fillId="0" borderId="15" xfId="1" applyFont="1" applyBorder="1"/>
    <xf numFmtId="0" fontId="256" fillId="54" borderId="15" xfId="0" applyFont="1" applyFill="1" applyBorder="1"/>
    <xf numFmtId="43" fontId="256" fillId="54" borderId="15" xfId="0" applyNumberFormat="1" applyFont="1" applyFill="1" applyBorder="1"/>
    <xf numFmtId="0" fontId="23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32" fillId="0" borderId="0" xfId="0" applyFont="1" applyAlignment="1">
      <alignment horizontal="center"/>
    </xf>
    <xf numFmtId="49" fontId="243" fillId="0" borderId="28" xfId="0" applyNumberFormat="1" applyFont="1" applyFill="1" applyBorder="1" applyAlignment="1"/>
    <xf numFmtId="0" fontId="232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4" fontId="11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34" fillId="36" borderId="15" xfId="0" applyNumberFormat="1" applyFont="1" applyFill="1" applyBorder="1" applyAlignment="1" applyProtection="1">
      <alignment horizontal="left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11" fillId="4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>
      <alignment horizontal="center"/>
    </xf>
    <xf numFmtId="4" fontId="257" fillId="34" borderId="15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43" fillId="0" borderId="0" xfId="0" applyFont="1" applyBorder="1"/>
    <xf numFmtId="0" fontId="243" fillId="0" borderId="0" xfId="0" applyFont="1" applyFill="1" applyBorder="1" applyAlignment="1">
      <alignment horizontal="center" vertical="center"/>
    </xf>
    <xf numFmtId="0" fontId="243" fillId="0" borderId="0" xfId="0" applyFont="1" applyBorder="1" applyAlignment="1">
      <alignment horizontal="center"/>
    </xf>
    <xf numFmtId="4" fontId="232" fillId="0" borderId="0" xfId="0" applyNumberFormat="1" applyFont="1" applyAlignment="1">
      <alignment horizontal="center"/>
    </xf>
    <xf numFmtId="49" fontId="22" fillId="0" borderId="15" xfId="0" applyNumberFormat="1" applyFont="1" applyFill="1" applyBorder="1" applyAlignment="1" applyProtection="1">
      <alignment horizontal="left" vertical="center" wrapText="1" indent="3"/>
    </xf>
    <xf numFmtId="0" fontId="6" fillId="0" borderId="15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 applyProtection="1">
      <alignment horizontal="left" vertical="center" wrapText="1" indent="4"/>
    </xf>
    <xf numFmtId="4" fontId="14" fillId="34" borderId="15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/>
    </xf>
    <xf numFmtId="0" fontId="232" fillId="0" borderId="15" xfId="0" applyFont="1" applyFill="1" applyBorder="1" applyAlignment="1">
      <alignment horizontal="center"/>
    </xf>
    <xf numFmtId="49" fontId="243" fillId="0" borderId="28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232" fillId="0" borderId="15" xfId="0" applyNumberFormat="1" applyFont="1" applyFill="1" applyBorder="1" applyAlignment="1">
      <alignment horizontal="center" wrapText="1"/>
    </xf>
    <xf numFmtId="0" fontId="259" fillId="0" borderId="0" xfId="0" applyFont="1" applyAlignment="1">
      <alignment horizontal="center"/>
    </xf>
    <xf numFmtId="0" fontId="232" fillId="0" borderId="0" xfId="0" applyFont="1"/>
    <xf numFmtId="0" fontId="23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2" fillId="0" borderId="0" xfId="0" applyFont="1" applyFill="1" applyBorder="1" applyAlignment="1">
      <alignment horizontal="center" vertical="center"/>
    </xf>
    <xf numFmtId="49" fontId="258" fillId="0" borderId="0" xfId="0" applyNumberFormat="1" applyFont="1" applyFill="1" applyBorder="1" applyAlignment="1"/>
    <xf numFmtId="0" fontId="258" fillId="0" borderId="0" xfId="0" applyFont="1" applyFill="1" applyBorder="1"/>
    <xf numFmtId="0" fontId="258" fillId="0" borderId="0" xfId="0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/>
    </xf>
    <xf numFmtId="0" fontId="259" fillId="0" borderId="0" xfId="0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232" fillId="0" borderId="15" xfId="0" applyNumberFormat="1" applyFont="1" applyFill="1" applyBorder="1" applyAlignment="1">
      <alignment horizontal="center" vertical="center" wrapText="1"/>
    </xf>
    <xf numFmtId="49" fontId="232" fillId="0" borderId="15" xfId="0" applyNumberFormat="1" applyFont="1" applyFill="1" applyBorder="1" applyAlignment="1">
      <alignment horizontal="center"/>
    </xf>
    <xf numFmtId="49" fontId="23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258" fillId="0" borderId="28" xfId="0" applyNumberFormat="1" applyFont="1" applyFill="1" applyBorder="1" applyAlignment="1"/>
    <xf numFmtId="49" fontId="0" fillId="0" borderId="0" xfId="0" applyNumberFormat="1" applyFill="1" applyAlignment="1">
      <alignment horizontal="center"/>
    </xf>
    <xf numFmtId="49" fontId="29" fillId="33" borderId="15" xfId="0" applyNumberFormat="1" applyFont="1" applyFill="1" applyBorder="1" applyAlignment="1" applyProtection="1">
      <alignment horizontal="center" vertical="center" wrapText="1"/>
    </xf>
    <xf numFmtId="49" fontId="0" fillId="145" borderId="15" xfId="0" applyNumberFormat="1" applyFill="1" applyBorder="1" applyAlignment="1">
      <alignment horizontal="center"/>
    </xf>
    <xf numFmtId="49" fontId="29" fillId="146" borderId="15" xfId="0" applyNumberFormat="1" applyFont="1" applyFill="1" applyBorder="1" applyAlignment="1" applyProtection="1">
      <alignment horizontal="center" vertical="center" wrapText="1"/>
    </xf>
    <xf numFmtId="4" fontId="232" fillId="145" borderId="1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232" fillId="0" borderId="2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vertical="center" wrapText="1"/>
    </xf>
    <xf numFmtId="49" fontId="31" fillId="147" borderId="15" xfId="0" applyNumberFormat="1" applyFont="1" applyFill="1" applyBorder="1" applyAlignment="1" applyProtection="1">
      <alignment horizontal="left" vertical="center" wrapText="1"/>
    </xf>
    <xf numFmtId="49" fontId="245" fillId="0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43" fontId="232" fillId="0" borderId="15" xfId="1" applyFont="1" applyBorder="1" applyAlignment="1">
      <alignment horizontal="center"/>
    </xf>
    <xf numFmtId="166" fontId="11" fillId="38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>
      <alignment horizontal="center" wrapText="1"/>
    </xf>
    <xf numFmtId="4" fontId="14" fillId="34" borderId="15" xfId="0" applyNumberFormat="1" applyFont="1" applyFill="1" applyBorder="1" applyAlignment="1" applyProtection="1">
      <alignment horizontal="right" vertical="center" wrapText="1"/>
    </xf>
    <xf numFmtId="0" fontId="0" fillId="0" borderId="26" xfId="0" applyFill="1" applyBorder="1" applyAlignment="1">
      <alignment horizontal="center"/>
    </xf>
    <xf numFmtId="164" fontId="6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78" fillId="35" borderId="15" xfId="0" applyNumberFormat="1" applyFont="1" applyFill="1" applyBorder="1" applyAlignment="1" applyProtection="1">
      <alignment horizontal="center" vertical="center"/>
    </xf>
    <xf numFmtId="4" fontId="78" fillId="38" borderId="15" xfId="0" applyNumberFormat="1" applyFont="1" applyFill="1" applyBorder="1" applyAlignment="1" applyProtection="1">
      <alignment horizontal="center" vertical="center"/>
      <protection locked="0"/>
    </xf>
    <xf numFmtId="0" fontId="261" fillId="0" borderId="0" xfId="0" applyFont="1" applyBorder="1" applyAlignment="1">
      <alignment vertical="center"/>
    </xf>
    <xf numFmtId="0" fontId="261" fillId="0" borderId="0" xfId="0" applyFont="1" applyBorder="1" applyAlignment="1">
      <alignment vertical="center" wrapText="1"/>
    </xf>
    <xf numFmtId="0" fontId="2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2" fillId="148" borderId="61" xfId="0" applyFont="1" applyFill="1" applyBorder="1" applyAlignment="1">
      <alignment horizontal="center" vertical="center" wrapText="1"/>
    </xf>
    <xf numFmtId="49" fontId="262" fillId="148" borderId="84" xfId="0" applyNumberFormat="1" applyFont="1" applyFill="1" applyBorder="1" applyAlignment="1">
      <alignment horizontal="center" vertical="center" wrapText="1"/>
    </xf>
    <xf numFmtId="0" fontId="262" fillId="148" borderId="85" xfId="0" applyFont="1" applyFill="1" applyBorder="1" applyAlignment="1">
      <alignment horizontal="center" vertical="center" wrapText="1"/>
    </xf>
    <xf numFmtId="0" fontId="262" fillId="148" borderId="84" xfId="0" applyFont="1" applyFill="1" applyBorder="1" applyAlignment="1">
      <alignment horizontal="center" vertical="center" wrapText="1"/>
    </xf>
    <xf numFmtId="0" fontId="262" fillId="148" borderId="86" xfId="0" applyFont="1" applyFill="1" applyBorder="1" applyAlignment="1">
      <alignment horizontal="center" vertical="center" wrapText="1"/>
    </xf>
    <xf numFmtId="0" fontId="263" fillId="143" borderId="87" xfId="0" applyFont="1" applyFill="1" applyBorder="1" applyAlignment="1">
      <alignment horizontal="center" vertical="center" wrapText="1"/>
    </xf>
    <xf numFmtId="0" fontId="265" fillId="149" borderId="62" xfId="0" applyFont="1" applyFill="1" applyBorder="1" applyAlignment="1">
      <alignment vertical="center" wrapText="1"/>
    </xf>
    <xf numFmtId="0" fontId="265" fillId="149" borderId="16" xfId="0" applyFont="1" applyFill="1" applyBorder="1" applyAlignment="1">
      <alignment vertical="center" wrapText="1"/>
    </xf>
    <xf numFmtId="0" fontId="265" fillId="149" borderId="15" xfId="0" applyFont="1" applyFill="1" applyBorder="1" applyAlignment="1">
      <alignment vertical="center" wrapText="1"/>
    </xf>
    <xf numFmtId="0" fontId="263" fillId="0" borderId="89" xfId="0" applyFont="1" applyBorder="1" applyAlignment="1">
      <alignment horizontal="center" vertical="center" wrapText="1"/>
    </xf>
    <xf numFmtId="0" fontId="263" fillId="0" borderId="88" xfId="0" applyFont="1" applyBorder="1" applyAlignment="1">
      <alignment vertical="center" wrapText="1"/>
    </xf>
    <xf numFmtId="3" fontId="263" fillId="0" borderId="62" xfId="0" applyNumberFormat="1" applyFont="1" applyBorder="1" applyAlignment="1">
      <alignment horizontal="right" vertical="center" wrapText="1"/>
    </xf>
    <xf numFmtId="3" fontId="263" fillId="0" borderId="16" xfId="0" applyNumberFormat="1" applyFont="1" applyBorder="1" applyAlignment="1">
      <alignment horizontal="right" vertical="center" wrapText="1"/>
    </xf>
    <xf numFmtId="3" fontId="263" fillId="0" borderId="15" xfId="0" applyNumberFormat="1" applyFont="1" applyBorder="1" applyAlignment="1">
      <alignment horizontal="right" vertical="center" wrapText="1"/>
    </xf>
    <xf numFmtId="0" fontId="266" fillId="41" borderId="90" xfId="0" applyFont="1" applyFill="1" applyBorder="1" applyAlignment="1">
      <alignment horizontal="center" vertical="center" wrapText="1"/>
    </xf>
    <xf numFmtId="0" fontId="266" fillId="41" borderId="91" xfId="0" applyFont="1" applyFill="1" applyBorder="1" applyAlignment="1">
      <alignment vertical="center" wrapText="1"/>
    </xf>
    <xf numFmtId="3" fontId="266" fillId="41" borderId="62" xfId="0" applyNumberFormat="1" applyFont="1" applyFill="1" applyBorder="1" applyAlignment="1">
      <alignment horizontal="right" vertical="center" wrapText="1"/>
    </xf>
    <xf numFmtId="3" fontId="266" fillId="0" borderId="16" xfId="0" applyNumberFormat="1" applyFont="1" applyBorder="1" applyAlignment="1">
      <alignment horizontal="right" vertical="center" wrapText="1"/>
    </xf>
    <xf numFmtId="3" fontId="266" fillId="0" borderId="62" xfId="0" applyNumberFormat="1" applyFont="1" applyBorder="1" applyAlignment="1">
      <alignment horizontal="right" vertical="center" wrapText="1"/>
    </xf>
    <xf numFmtId="3" fontId="266" fillId="0" borderId="15" xfId="0" applyNumberFormat="1" applyFont="1" applyBorder="1" applyAlignment="1">
      <alignment horizontal="right" vertical="center" wrapText="1"/>
    </xf>
    <xf numFmtId="0" fontId="262" fillId="0" borderId="91" xfId="0" applyFont="1" applyBorder="1" applyAlignment="1">
      <alignment vertical="center" wrapText="1"/>
    </xf>
    <xf numFmtId="0" fontId="262" fillId="0" borderId="62" xfId="0" applyFont="1" applyBorder="1" applyAlignment="1">
      <alignment horizontal="right" vertical="center" wrapText="1"/>
    </xf>
    <xf numFmtId="0" fontId="262" fillId="0" borderId="16" xfId="0" applyFont="1" applyBorder="1" applyAlignment="1">
      <alignment horizontal="right" vertical="center" wrapText="1"/>
    </xf>
    <xf numFmtId="0" fontId="262" fillId="0" borderId="15" xfId="0" applyFont="1" applyBorder="1" applyAlignment="1">
      <alignment horizontal="right" vertical="center" wrapText="1"/>
    </xf>
    <xf numFmtId="0" fontId="267" fillId="0" borderId="91" xfId="0" applyFont="1" applyBorder="1" applyAlignment="1">
      <alignment vertical="center" wrapText="1"/>
    </xf>
    <xf numFmtId="0" fontId="262" fillId="0" borderId="62" xfId="0" applyFont="1" applyBorder="1" applyAlignment="1">
      <alignment vertical="center" wrapText="1"/>
    </xf>
    <xf numFmtId="0" fontId="262" fillId="0" borderId="16" xfId="0" applyFont="1" applyBorder="1" applyAlignment="1">
      <alignment vertical="center" wrapText="1"/>
    </xf>
    <xf numFmtId="0" fontId="262" fillId="0" borderId="15" xfId="0" applyFont="1" applyBorder="1" applyAlignment="1">
      <alignment vertical="center" wrapText="1"/>
    </xf>
    <xf numFmtId="0" fontId="268" fillId="0" borderId="91" xfId="0" applyFont="1" applyBorder="1" applyAlignment="1">
      <alignment vertical="center" wrapText="1"/>
    </xf>
    <xf numFmtId="3" fontId="263" fillId="0" borderId="62" xfId="0" applyNumberFormat="1" applyFont="1" applyBorder="1" applyAlignment="1">
      <alignment horizontal="center" vertical="center" wrapText="1"/>
    </xf>
    <xf numFmtId="0" fontId="263" fillId="0" borderId="16" xfId="0" applyFont="1" applyBorder="1" applyAlignment="1">
      <alignment vertical="center" wrapText="1"/>
    </xf>
    <xf numFmtId="0" fontId="263" fillId="0" borderId="62" xfId="0" applyFont="1" applyBorder="1" applyAlignment="1">
      <alignment vertical="center" wrapText="1"/>
    </xf>
    <xf numFmtId="0" fontId="263" fillId="0" borderId="15" xfId="0" applyFont="1" applyBorder="1" applyAlignment="1">
      <alignment vertical="center" wrapText="1"/>
    </xf>
    <xf numFmtId="3" fontId="263" fillId="0" borderId="15" xfId="0" applyNumberFormat="1" applyFont="1" applyBorder="1" applyAlignment="1">
      <alignment horizontal="center" vertical="center" wrapText="1"/>
    </xf>
    <xf numFmtId="0" fontId="263" fillId="0" borderId="90" xfId="0" applyFont="1" applyBorder="1" applyAlignment="1">
      <alignment horizontal="center" vertical="center" wrapText="1"/>
    </xf>
    <xf numFmtId="0" fontId="263" fillId="0" borderId="91" xfId="0" applyFont="1" applyBorder="1" applyAlignment="1">
      <alignment vertical="center" wrapText="1"/>
    </xf>
    <xf numFmtId="3" fontId="262" fillId="0" borderId="62" xfId="0" applyNumberFormat="1" applyFont="1" applyBorder="1" applyAlignment="1">
      <alignment horizontal="right" vertical="center" wrapText="1"/>
    </xf>
    <xf numFmtId="0" fontId="269" fillId="41" borderId="90" xfId="0" applyFont="1" applyFill="1" applyBorder="1" applyAlignment="1">
      <alignment horizontal="center" vertical="center" wrapText="1"/>
    </xf>
    <xf numFmtId="0" fontId="270" fillId="41" borderId="91" xfId="0" applyFont="1" applyFill="1" applyBorder="1" applyAlignment="1">
      <alignment horizontal="left" vertical="center" wrapText="1"/>
    </xf>
    <xf numFmtId="3" fontId="269" fillId="41" borderId="62" xfId="0" applyNumberFormat="1" applyFont="1" applyFill="1" applyBorder="1" applyAlignment="1">
      <alignment horizontal="right" vertical="center" wrapText="1"/>
    </xf>
    <xf numFmtId="3" fontId="269" fillId="41" borderId="16" xfId="0" applyNumberFormat="1" applyFont="1" applyFill="1" applyBorder="1" applyAlignment="1">
      <alignment vertical="center" wrapText="1"/>
    </xf>
    <xf numFmtId="3" fontId="269" fillId="41" borderId="62" xfId="0" applyNumberFormat="1" applyFont="1" applyFill="1" applyBorder="1" applyAlignment="1">
      <alignment vertical="center" wrapText="1"/>
    </xf>
    <xf numFmtId="3" fontId="269" fillId="41" borderId="15" xfId="0" applyNumberFormat="1" applyFont="1" applyFill="1" applyBorder="1" applyAlignment="1">
      <alignment horizontal="right" vertical="center" wrapText="1"/>
    </xf>
    <xf numFmtId="3" fontId="269" fillId="41" borderId="16" xfId="0" applyNumberFormat="1" applyFont="1" applyFill="1" applyBorder="1" applyAlignment="1">
      <alignment horizontal="right" vertical="center" wrapText="1"/>
    </xf>
    <xf numFmtId="3" fontId="269" fillId="41" borderId="62" xfId="0" applyNumberFormat="1" applyFont="1" applyFill="1" applyBorder="1" applyAlignment="1">
      <alignment horizontal="center" vertical="center" wrapText="1"/>
    </xf>
    <xf numFmtId="0" fontId="263" fillId="143" borderId="90" xfId="0" applyFont="1" applyFill="1" applyBorder="1" applyAlignment="1">
      <alignment horizontal="center" vertical="center" wrapText="1"/>
    </xf>
    <xf numFmtId="0" fontId="263" fillId="143" borderId="91" xfId="0" applyFont="1" applyFill="1" applyBorder="1" applyAlignment="1">
      <alignment vertical="center" wrapText="1"/>
    </xf>
    <xf numFmtId="3" fontId="263" fillId="143" borderId="62" xfId="0" applyNumberFormat="1" applyFont="1" applyFill="1" applyBorder="1" applyAlignment="1">
      <alignment horizontal="right" vertical="center" wrapText="1"/>
    </xf>
    <xf numFmtId="3" fontId="263" fillId="143" borderId="16" xfId="0" applyNumberFormat="1" applyFont="1" applyFill="1" applyBorder="1" applyAlignment="1">
      <alignment horizontal="right" vertical="center" wrapText="1"/>
    </xf>
    <xf numFmtId="3" fontId="263" fillId="143" borderId="15" xfId="0" applyNumberFormat="1" applyFont="1" applyFill="1" applyBorder="1" applyAlignment="1">
      <alignment horizontal="right" vertical="center" wrapText="1"/>
    </xf>
    <xf numFmtId="0" fontId="263" fillId="0" borderId="75" xfId="0" applyFont="1" applyBorder="1" applyAlignment="1">
      <alignment horizontal="left" vertical="center" wrapText="1"/>
    </xf>
    <xf numFmtId="0" fontId="272" fillId="0" borderId="90" xfId="0" applyFont="1" applyBorder="1" applyAlignment="1">
      <alignment horizontal="center" vertical="center" wrapText="1"/>
    </xf>
    <xf numFmtId="0" fontId="272" fillId="0" borderId="91" xfId="0" applyFont="1" applyBorder="1" applyAlignment="1">
      <alignment vertical="center" wrapText="1"/>
    </xf>
    <xf numFmtId="3" fontId="272" fillId="41" borderId="62" xfId="0" applyNumberFormat="1" applyFont="1" applyFill="1" applyBorder="1" applyAlignment="1">
      <alignment vertical="center" wrapText="1"/>
    </xf>
    <xf numFmtId="3" fontId="272" fillId="0" borderId="16" xfId="0" applyNumberFormat="1" applyFont="1" applyBorder="1" applyAlignment="1">
      <alignment vertical="center" wrapText="1"/>
    </xf>
    <xf numFmtId="3" fontId="272" fillId="0" borderId="62" xfId="0" applyNumberFormat="1" applyFont="1" applyBorder="1" applyAlignment="1">
      <alignment vertical="center" wrapText="1"/>
    </xf>
    <xf numFmtId="3" fontId="272" fillId="0" borderId="15" xfId="0" applyNumberFormat="1" applyFont="1" applyBorder="1" applyAlignment="1">
      <alignment vertical="center" wrapText="1"/>
    </xf>
    <xf numFmtId="0" fontId="272" fillId="41" borderId="90" xfId="0" applyFont="1" applyFill="1" applyBorder="1" applyAlignment="1">
      <alignment horizontal="center" vertical="center" wrapText="1"/>
    </xf>
    <xf numFmtId="0" fontId="272" fillId="41" borderId="91" xfId="0" applyFont="1" applyFill="1" applyBorder="1" applyAlignment="1">
      <alignment vertical="center" wrapText="1"/>
    </xf>
    <xf numFmtId="3" fontId="272" fillId="0" borderId="16" xfId="0" applyNumberFormat="1" applyFont="1" applyBorder="1" applyAlignment="1">
      <alignment horizontal="right" vertical="center" wrapText="1"/>
    </xf>
    <xf numFmtId="3" fontId="272" fillId="0" borderId="91" xfId="0" applyNumberFormat="1" applyFont="1" applyBorder="1" applyAlignment="1">
      <alignment vertical="center" wrapText="1"/>
    </xf>
    <xf numFmtId="0" fontId="263" fillId="0" borderId="92" xfId="0" applyFont="1" applyBorder="1" applyAlignment="1">
      <alignment horizontal="left" vertical="center" wrapText="1"/>
    </xf>
    <xf numFmtId="3" fontId="263" fillId="0" borderId="62" xfId="0" applyNumberFormat="1" applyFont="1" applyBorder="1" applyAlignment="1">
      <alignment vertical="center" wrapText="1"/>
    </xf>
    <xf numFmtId="3" fontId="263" fillId="0" borderId="16" xfId="0" applyNumberFormat="1" applyFont="1" applyBorder="1" applyAlignment="1">
      <alignment vertical="center" wrapText="1"/>
    </xf>
    <xf numFmtId="3" fontId="263" fillId="0" borderId="15" xfId="0" applyNumberFormat="1" applyFont="1" applyBorder="1" applyAlignment="1">
      <alignment vertical="center" wrapText="1"/>
    </xf>
    <xf numFmtId="3" fontId="272" fillId="41" borderId="16" xfId="0" applyNumberFormat="1" applyFont="1" applyFill="1" applyBorder="1" applyAlignment="1">
      <alignment vertical="center" wrapText="1"/>
    </xf>
    <xf numFmtId="3" fontId="263" fillId="41" borderId="62" xfId="0" applyNumberFormat="1" applyFont="1" applyFill="1" applyBorder="1" applyAlignment="1">
      <alignment vertical="center" wrapText="1"/>
    </xf>
    <xf numFmtId="3" fontId="263" fillId="41" borderId="16" xfId="0" applyNumberFormat="1" applyFont="1" applyFill="1" applyBorder="1" applyAlignment="1">
      <alignment vertical="center" wrapText="1"/>
    </xf>
    <xf numFmtId="3" fontId="263" fillId="41" borderId="15" xfId="0" applyNumberFormat="1" applyFont="1" applyFill="1" applyBorder="1" applyAlignment="1">
      <alignment vertical="center" wrapText="1"/>
    </xf>
    <xf numFmtId="0" fontId="273" fillId="0" borderId="91" xfId="0" applyFont="1" applyBorder="1" applyAlignment="1">
      <alignment vertical="center" wrapText="1"/>
    </xf>
    <xf numFmtId="0" fontId="274" fillId="0" borderId="91" xfId="0" applyFont="1" applyBorder="1" applyAlignment="1">
      <alignment vertical="center" wrapText="1"/>
    </xf>
    <xf numFmtId="3" fontId="45" fillId="0" borderId="62" xfId="0" applyNumberFormat="1" applyFont="1" applyBorder="1" applyAlignment="1">
      <alignment vertical="center" wrapText="1"/>
    </xf>
    <xf numFmtId="3" fontId="45" fillId="0" borderId="16" xfId="0" applyNumberFormat="1" applyFont="1" applyBorder="1" applyAlignment="1">
      <alignment vertical="center" wrapText="1"/>
    </xf>
    <xf numFmtId="3" fontId="45" fillId="0" borderId="15" xfId="0" applyNumberFormat="1" applyFont="1" applyBorder="1" applyAlignment="1">
      <alignment vertical="center" wrapText="1"/>
    </xf>
    <xf numFmtId="0" fontId="262" fillId="151" borderId="90" xfId="0" applyFont="1" applyFill="1" applyBorder="1" applyAlignment="1">
      <alignment horizontal="center" vertical="center" wrapText="1"/>
    </xf>
    <xf numFmtId="0" fontId="267" fillId="152" borderId="91" xfId="0" applyFont="1" applyFill="1" applyBorder="1" applyAlignment="1">
      <alignment horizontal="left" vertical="center" wrapText="1"/>
    </xf>
    <xf numFmtId="3" fontId="262" fillId="151" borderId="62" xfId="0" applyNumberFormat="1" applyFont="1" applyFill="1" applyBorder="1" applyAlignment="1">
      <alignment vertical="center" wrapText="1"/>
    </xf>
    <xf numFmtId="3" fontId="262" fillId="151" borderId="16" xfId="0" applyNumberFormat="1" applyFont="1" applyFill="1" applyBorder="1" applyAlignment="1">
      <alignment vertical="center" wrapText="1"/>
    </xf>
    <xf numFmtId="3" fontId="262" fillId="151" borderId="15" xfId="0" applyNumberFormat="1" applyFont="1" applyFill="1" applyBorder="1" applyAlignment="1">
      <alignment vertical="center" wrapText="1"/>
    </xf>
    <xf numFmtId="0" fontId="263" fillId="153" borderId="93" xfId="0" applyFont="1" applyFill="1" applyBorder="1" applyAlignment="1">
      <alignment horizontal="center" vertical="center" wrapText="1"/>
    </xf>
    <xf numFmtId="0" fontId="263" fillId="153" borderId="92" xfId="0" applyFont="1" applyFill="1" applyBorder="1" applyAlignment="1">
      <alignment vertical="center" wrapText="1"/>
    </xf>
    <xf numFmtId="3" fontId="263" fillId="153" borderId="19" xfId="0" applyNumberFormat="1" applyFont="1" applyFill="1" applyBorder="1" applyAlignment="1">
      <alignment vertical="center" wrapText="1"/>
    </xf>
    <xf numFmtId="3" fontId="263" fillId="153" borderId="18" xfId="0" applyNumberFormat="1" applyFont="1" applyFill="1" applyBorder="1" applyAlignment="1">
      <alignment vertical="center" wrapText="1"/>
    </xf>
    <xf numFmtId="3" fontId="263" fillId="153" borderId="26" xfId="0" applyNumberFormat="1" applyFont="1" applyFill="1" applyBorder="1" applyAlignment="1">
      <alignment vertical="center" wrapText="1"/>
    </xf>
    <xf numFmtId="0" fontId="263" fillId="150" borderId="61" xfId="0" applyFont="1" applyFill="1" applyBorder="1" applyAlignment="1">
      <alignment horizontal="center" vertical="center" wrapText="1"/>
    </xf>
    <xf numFmtId="0" fontId="263" fillId="150" borderId="76" xfId="0" applyFont="1" applyFill="1" applyBorder="1" applyAlignment="1">
      <alignment vertical="center" wrapText="1"/>
    </xf>
    <xf numFmtId="3" fontId="263" fillId="150" borderId="84" xfId="0" applyNumberFormat="1" applyFont="1" applyFill="1" applyBorder="1" applyAlignment="1">
      <alignment horizontal="right" vertical="center" wrapText="1"/>
    </xf>
    <xf numFmtId="3" fontId="263" fillId="150" borderId="85" xfId="0" applyNumberFormat="1" applyFont="1" applyFill="1" applyBorder="1" applyAlignment="1">
      <alignment horizontal="right" vertical="center" wrapText="1"/>
    </xf>
    <xf numFmtId="3" fontId="263" fillId="150" borderId="86" xfId="0" applyNumberFormat="1" applyFont="1" applyFill="1" applyBorder="1" applyAlignment="1">
      <alignment horizontal="right" vertical="center" wrapText="1"/>
    </xf>
    <xf numFmtId="0" fontId="275" fillId="41" borderId="0" xfId="0" applyFont="1" applyFill="1" applyAlignment="1">
      <alignment horizontal="center"/>
    </xf>
    <xf numFmtId="0" fontId="276" fillId="41" borderId="0" xfId="0" applyFont="1" applyFill="1" applyAlignment="1">
      <alignment horizontal="right"/>
    </xf>
    <xf numFmtId="3" fontId="0" fillId="0" borderId="0" xfId="0" applyNumberFormat="1"/>
    <xf numFmtId="0" fontId="275" fillId="41" borderId="0" xfId="0" applyFont="1" applyFill="1"/>
    <xf numFmtId="0" fontId="263" fillId="0" borderId="0" xfId="0" applyFont="1" applyAlignment="1">
      <alignment horizontal="left" vertical="center"/>
    </xf>
    <xf numFmtId="0" fontId="277" fillId="0" borderId="0" xfId="0" applyFont="1"/>
    <xf numFmtId="0" fontId="277" fillId="0" borderId="0" xfId="0" applyFont="1" applyAlignment="1">
      <alignment horizontal="center"/>
    </xf>
    <xf numFmtId="0" fontId="278" fillId="0" borderId="0" xfId="0" applyFont="1"/>
    <xf numFmtId="0" fontId="279" fillId="0" borderId="0" xfId="0" applyFont="1"/>
    <xf numFmtId="0" fontId="35" fillId="0" borderId="0" xfId="0" applyFont="1"/>
    <xf numFmtId="10" fontId="280" fillId="0" borderId="15" xfId="16845" applyNumberFormat="1" applyFont="1" applyBorder="1" applyAlignment="1">
      <alignment horizontal="center"/>
    </xf>
    <xf numFmtId="0" fontId="272" fillId="0" borderId="15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3" fontId="232" fillId="0" borderId="0" xfId="0" applyNumberFormat="1" applyFont="1" applyBorder="1"/>
    <xf numFmtId="3" fontId="232" fillId="154" borderId="0" xfId="0" applyNumberFormat="1" applyFont="1" applyFill="1" applyBorder="1"/>
    <xf numFmtId="0" fontId="241" fillId="0" borderId="15" xfId="0" applyFont="1" applyBorder="1"/>
    <xf numFmtId="0" fontId="242" fillId="0" borderId="15" xfId="0" applyFont="1" applyBorder="1" applyAlignment="1">
      <alignment horizontal="center"/>
    </xf>
    <xf numFmtId="0" fontId="241" fillId="0" borderId="0" xfId="0" applyFont="1"/>
    <xf numFmtId="0" fontId="242" fillId="148" borderId="15" xfId="0" applyFont="1" applyFill="1" applyBorder="1"/>
    <xf numFmtId="0" fontId="242" fillId="148" borderId="15" xfId="0" applyFont="1" applyFill="1" applyBorder="1" applyAlignment="1">
      <alignment horizontal="right"/>
    </xf>
    <xf numFmtId="3" fontId="242" fillId="148" borderId="15" xfId="0" applyNumberFormat="1" applyFont="1" applyFill="1" applyBorder="1"/>
    <xf numFmtId="0" fontId="281" fillId="0" borderId="15" xfId="0" applyFont="1" applyBorder="1"/>
    <xf numFmtId="3" fontId="281" fillId="0" borderId="15" xfId="0" applyNumberFormat="1" applyFont="1" applyBorder="1"/>
    <xf numFmtId="3" fontId="241" fillId="0" borderId="15" xfId="0" applyNumberFormat="1" applyFont="1" applyBorder="1"/>
    <xf numFmtId="3" fontId="242" fillId="0" borderId="15" xfId="0" applyNumberFormat="1" applyFont="1" applyBorder="1"/>
    <xf numFmtId="0" fontId="281" fillId="0" borderId="15" xfId="0" applyFont="1" applyFill="1" applyBorder="1"/>
    <xf numFmtId="3" fontId="241" fillId="0" borderId="0" xfId="0" applyNumberFormat="1" applyFont="1"/>
    <xf numFmtId="167" fontId="241" fillId="0" borderId="15" xfId="0" applyNumberFormat="1" applyFont="1" applyBorder="1"/>
    <xf numFmtId="0" fontId="242" fillId="155" borderId="15" xfId="0" applyFont="1" applyFill="1" applyBorder="1"/>
    <xf numFmtId="167" fontId="242" fillId="155" borderId="15" xfId="0" applyNumberFormat="1" applyFont="1" applyFill="1" applyBorder="1"/>
    <xf numFmtId="164" fontId="241" fillId="0" borderId="15" xfId="0" applyNumberFormat="1" applyFont="1" applyBorder="1"/>
    <xf numFmtId="4" fontId="241" fillId="0" borderId="15" xfId="0" applyNumberFormat="1" applyFont="1" applyBorder="1"/>
    <xf numFmtId="164" fontId="241" fillId="54" borderId="15" xfId="0" applyNumberFormat="1" applyFont="1" applyFill="1" applyBorder="1"/>
    <xf numFmtId="0" fontId="241" fillId="54" borderId="15" xfId="0" applyFont="1" applyFill="1" applyBorder="1"/>
    <xf numFmtId="4" fontId="241" fillId="54" borderId="15" xfId="0" applyNumberFormat="1" applyFont="1" applyFill="1" applyBorder="1"/>
    <xf numFmtId="164" fontId="242" fillId="0" borderId="0" xfId="0" applyNumberFormat="1" applyFont="1"/>
    <xf numFmtId="0" fontId="242" fillId="0" borderId="0" xfId="0" applyFont="1"/>
    <xf numFmtId="4" fontId="242" fillId="0" borderId="15" xfId="0" applyNumberFormat="1" applyFont="1" applyBorder="1"/>
    <xf numFmtId="0" fontId="240" fillId="0" borderId="0" xfId="10755" applyFont="1"/>
    <xf numFmtId="0" fontId="242" fillId="156" borderId="15" xfId="10755" applyFont="1" applyFill="1" applyBorder="1"/>
    <xf numFmtId="0" fontId="242" fillId="156" borderId="15" xfId="10755" applyFont="1" applyFill="1" applyBorder="1" applyAlignment="1">
      <alignment wrapText="1"/>
    </xf>
    <xf numFmtId="0" fontId="242" fillId="156" borderId="15" xfId="10755" applyFont="1" applyFill="1" applyBorder="1" applyAlignment="1">
      <alignment horizontal="center"/>
    </xf>
    <xf numFmtId="0" fontId="242" fillId="156" borderId="15" xfId="10755" applyFont="1" applyFill="1" applyBorder="1" applyAlignment="1">
      <alignment horizontal="center" wrapText="1"/>
    </xf>
    <xf numFmtId="0" fontId="239" fillId="0" borderId="15" xfId="10755" applyFont="1" applyBorder="1"/>
    <xf numFmtId="4" fontId="239" fillId="0" borderId="15" xfId="10755" applyNumberFormat="1" applyFont="1" applyBorder="1"/>
    <xf numFmtId="164" fontId="239" fillId="0" borderId="15" xfId="10755" applyNumberFormat="1" applyFont="1" applyBorder="1"/>
    <xf numFmtId="0" fontId="239" fillId="0" borderId="26" xfId="10755" applyFont="1" applyBorder="1"/>
    <xf numFmtId="4" fontId="239" fillId="0" borderId="26" xfId="10755" applyNumberFormat="1" applyFont="1" applyBorder="1"/>
    <xf numFmtId="164" fontId="239" fillId="0" borderId="26" xfId="10755" applyNumberFormat="1" applyFont="1" applyBorder="1"/>
    <xf numFmtId="0" fontId="239" fillId="156" borderId="84" xfId="10755" applyFont="1" applyFill="1" applyBorder="1"/>
    <xf numFmtId="4" fontId="239" fillId="156" borderId="86" xfId="10755" applyNumberFormat="1" applyFont="1" applyFill="1" applyBorder="1"/>
    <xf numFmtId="164" fontId="239" fillId="156" borderId="86" xfId="10755" applyNumberFormat="1" applyFont="1" applyFill="1" applyBorder="1"/>
    <xf numFmtId="0" fontId="241" fillId="0" borderId="0" xfId="10755" applyFont="1"/>
    <xf numFmtId="4" fontId="11" fillId="50" borderId="15" xfId="0" applyNumberFormat="1" applyFont="1" applyFill="1" applyBorder="1" applyAlignment="1" applyProtection="1">
      <alignment horizontal="center" vertical="center"/>
      <protection locked="0"/>
    </xf>
    <xf numFmtId="4" fontId="251" fillId="54" borderId="15" xfId="10755" applyNumberFormat="1" applyFont="1" applyFill="1" applyBorder="1" applyAlignment="1">
      <alignment vertical="center" wrapText="1"/>
    </xf>
    <xf numFmtId="4" fontId="251" fillId="54" borderId="15" xfId="10755" applyNumberFormat="1" applyFont="1" applyFill="1" applyBorder="1" applyAlignment="1">
      <alignment horizontal="right" vertical="center" wrapText="1"/>
    </xf>
    <xf numFmtId="3" fontId="262" fillId="0" borderId="15" xfId="0" applyNumberFormat="1" applyFont="1" applyBorder="1" applyAlignment="1">
      <alignment horizontal="right" vertical="center" wrapText="1"/>
    </xf>
    <xf numFmtId="4" fontId="262" fillId="0" borderId="15" xfId="0" applyNumberFormat="1" applyFont="1" applyBorder="1" applyAlignment="1">
      <alignment horizontal="right" vertical="center" wrapText="1"/>
    </xf>
    <xf numFmtId="43" fontId="33" fillId="36" borderId="15" xfId="1" applyFont="1" applyFill="1" applyBorder="1" applyAlignment="1" applyProtection="1">
      <alignment horizontal="center" vertical="center" wrapText="1"/>
    </xf>
    <xf numFmtId="43" fontId="33" fillId="44" borderId="15" xfId="1" applyFont="1" applyFill="1" applyBorder="1" applyAlignment="1" applyProtection="1">
      <alignment horizontal="center" vertical="center" wrapText="1"/>
    </xf>
    <xf numFmtId="43" fontId="6" fillId="38" borderId="15" xfId="1" applyFont="1" applyFill="1" applyBorder="1" applyAlignment="1" applyProtection="1">
      <alignment horizontal="center" vertical="center" wrapText="1"/>
      <protection locked="0"/>
    </xf>
    <xf numFmtId="4" fontId="13" fillId="36" borderId="15" xfId="1" applyNumberFormat="1" applyFont="1" applyFill="1" applyBorder="1" applyAlignment="1" applyProtection="1">
      <alignment horizontal="center" vertical="center" wrapText="1"/>
    </xf>
    <xf numFmtId="4" fontId="13" fillId="44" borderId="15" xfId="0" applyNumberFormat="1" applyFont="1" applyFill="1" applyBorder="1" applyAlignment="1" applyProtection="1">
      <alignment horizontal="center" vertical="center" wrapText="1"/>
    </xf>
    <xf numFmtId="4" fontId="33" fillId="44" borderId="15" xfId="1" applyNumberFormat="1" applyFont="1" applyFill="1" applyBorder="1" applyAlignment="1" applyProtection="1">
      <alignment horizontal="center" vertical="center" wrapText="1"/>
    </xf>
    <xf numFmtId="4" fontId="13" fillId="44" borderId="15" xfId="1" applyNumberFormat="1" applyFont="1" applyFill="1" applyBorder="1" applyAlignment="1" applyProtection="1">
      <alignment horizontal="center" vertical="center" wrapText="1"/>
    </xf>
    <xf numFmtId="4" fontId="6" fillId="38" borderId="15" xfId="1" applyNumberFormat="1" applyFont="1" applyFill="1" applyBorder="1" applyAlignment="1" applyProtection="1">
      <alignment horizontal="center" vertical="center" wrapText="1"/>
      <protection locked="0"/>
    </xf>
    <xf numFmtId="4" fontId="33" fillId="36" borderId="15" xfId="1" applyNumberFormat="1" applyFont="1" applyFill="1" applyBorder="1" applyAlignment="1" applyProtection="1">
      <alignment horizontal="center" vertical="center" wrapText="1"/>
    </xf>
    <xf numFmtId="4" fontId="30" fillId="36" borderId="15" xfId="1" applyNumberFormat="1" applyFont="1" applyFill="1" applyBorder="1" applyAlignment="1" applyProtection="1">
      <alignment horizontal="center" vertical="center" wrapText="1"/>
    </xf>
    <xf numFmtId="4" fontId="22" fillId="34" borderId="15" xfId="1" applyNumberFormat="1" applyFont="1" applyFill="1" applyBorder="1" applyAlignment="1" applyProtection="1">
      <alignment horizontal="center" vertical="center" wrapText="1"/>
    </xf>
    <xf numFmtId="4" fontId="13" fillId="38" borderId="15" xfId="1" applyNumberFormat="1" applyFont="1" applyFill="1" applyBorder="1" applyAlignment="1" applyProtection="1">
      <alignment horizontal="center" vertical="center" wrapText="1"/>
      <protection locked="0"/>
    </xf>
    <xf numFmtId="4" fontId="33" fillId="38" borderId="15" xfId="1" applyNumberFormat="1" applyFont="1" applyFill="1" applyBorder="1" applyAlignment="1" applyProtection="1">
      <alignment horizontal="center" vertical="center" wrapText="1"/>
      <protection locked="0"/>
    </xf>
    <xf numFmtId="0" fontId="283" fillId="0" borderId="0" xfId="0" applyFont="1" applyBorder="1" applyAlignment="1">
      <alignment vertical="center"/>
    </xf>
    <xf numFmtId="2" fontId="283" fillId="0" borderId="0" xfId="0" applyNumberFormat="1" applyFont="1" applyBorder="1" applyAlignment="1">
      <alignment vertical="center"/>
    </xf>
    <xf numFmtId="2" fontId="283" fillId="0" borderId="0" xfId="0" applyNumberFormat="1" applyFont="1" applyAlignment="1">
      <alignment vertical="center"/>
    </xf>
    <xf numFmtId="4" fontId="283" fillId="0" borderId="0" xfId="0" applyNumberFormat="1" applyFont="1" applyBorder="1" applyAlignment="1">
      <alignment vertical="center"/>
    </xf>
    <xf numFmtId="4" fontId="282" fillId="0" borderId="0" xfId="0" applyNumberFormat="1" applyFont="1" applyAlignment="1">
      <alignment horizontal="center"/>
    </xf>
    <xf numFmtId="10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10" fontId="6" fillId="38" borderId="15" xfId="1" applyNumberFormat="1" applyFont="1" applyFill="1" applyBorder="1" applyAlignment="1" applyProtection="1">
      <alignment horizontal="center" vertical="center" wrapText="1"/>
      <protection locked="0"/>
    </xf>
    <xf numFmtId="43" fontId="9" fillId="38" borderId="15" xfId="1" applyFont="1" applyFill="1" applyBorder="1" applyAlignment="1" applyProtection="1">
      <alignment horizontal="center" vertical="center" wrapText="1"/>
      <protection locked="0"/>
    </xf>
    <xf numFmtId="43" fontId="283" fillId="0" borderId="0" xfId="1" applyFont="1" applyBorder="1" applyAlignment="1">
      <alignment vertical="center"/>
    </xf>
    <xf numFmtId="0" fontId="285" fillId="0" borderId="0" xfId="0" applyFont="1" applyBorder="1" applyAlignment="1">
      <alignment vertical="center"/>
    </xf>
    <xf numFmtId="0" fontId="285" fillId="0" borderId="0" xfId="0" applyFont="1" applyBorder="1" applyAlignment="1">
      <alignment horizontal="center" vertical="center"/>
    </xf>
    <xf numFmtId="4" fontId="283" fillId="0" borderId="0" xfId="1" applyNumberFormat="1" applyFont="1" applyBorder="1" applyAlignment="1">
      <alignment vertical="center"/>
    </xf>
    <xf numFmtId="4" fontId="283" fillId="0" borderId="0" xfId="1" applyNumberFormat="1" applyFont="1" applyAlignment="1">
      <alignment vertical="center"/>
    </xf>
    <xf numFmtId="4" fontId="26" fillId="34" borderId="15" xfId="0" applyNumberFormat="1" applyFont="1" applyFill="1" applyBorder="1" applyAlignment="1" applyProtection="1">
      <alignment horizontal="center" vertical="center" wrapText="1"/>
    </xf>
    <xf numFmtId="4" fontId="33" fillId="36" borderId="15" xfId="0" applyNumberFormat="1" applyFont="1" applyFill="1" applyBorder="1" applyAlignment="1" applyProtection="1">
      <alignment horizontal="center" vertical="center" wrapText="1"/>
    </xf>
    <xf numFmtId="4" fontId="33" fillId="44" borderId="15" xfId="0" applyNumberFormat="1" applyFont="1" applyFill="1" applyBorder="1" applyAlignment="1" applyProtection="1">
      <alignment horizontal="center" vertical="center" wrapText="1"/>
    </xf>
    <xf numFmtId="4" fontId="9" fillId="44" borderId="15" xfId="0" applyNumberFormat="1" applyFont="1" applyFill="1" applyBorder="1" applyAlignment="1" applyProtection="1">
      <alignment horizontal="center" vertical="center" wrapText="1"/>
      <protection locked="0"/>
    </xf>
    <xf numFmtId="43" fontId="20" fillId="38" borderId="15" xfId="1" applyFont="1" applyFill="1" applyBorder="1" applyAlignment="1" applyProtection="1">
      <alignment horizontal="center" vertical="center" wrapText="1"/>
      <protection locked="0"/>
    </xf>
    <xf numFmtId="43" fontId="30" fillId="36" borderId="15" xfId="1" applyFont="1" applyFill="1" applyBorder="1" applyAlignment="1" applyProtection="1">
      <alignment horizontal="center" vertical="center" wrapText="1"/>
    </xf>
    <xf numFmtId="43" fontId="22" fillId="34" borderId="15" xfId="1" applyFont="1" applyFill="1" applyBorder="1" applyAlignment="1" applyProtection="1">
      <alignment horizontal="center" vertical="center" wrapText="1"/>
    </xf>
    <xf numFmtId="43" fontId="13" fillId="36" borderId="15" xfId="1" applyFont="1" applyFill="1" applyBorder="1" applyAlignment="1" applyProtection="1">
      <alignment horizontal="center" vertical="center" wrapText="1"/>
    </xf>
    <xf numFmtId="43" fontId="33" fillId="38" borderId="15" xfId="1" applyFont="1" applyFill="1" applyBorder="1" applyAlignment="1" applyProtection="1">
      <alignment horizontal="center" vertical="center" wrapText="1"/>
      <protection locked="0"/>
    </xf>
    <xf numFmtId="4" fontId="20" fillId="38" borderId="15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>
      <alignment horizontal="center"/>
    </xf>
    <xf numFmtId="43" fontId="0" fillId="0" borderId="15" xfId="1" applyFont="1" applyBorder="1" applyAlignment="1">
      <alignment horizont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5" xfId="1" applyNumberFormat="1" applyFont="1" applyBorder="1" applyAlignment="1">
      <alignment horizontal="center"/>
    </xf>
    <xf numFmtId="4" fontId="232" fillId="145" borderId="15" xfId="0" applyNumberFormat="1" applyFont="1" applyFill="1" applyBorder="1" applyAlignment="1">
      <alignment horizontal="center" vertical="center"/>
    </xf>
    <xf numFmtId="4" fontId="239" fillId="0" borderId="0" xfId="10755" applyNumberFormat="1" applyFont="1" applyBorder="1"/>
    <xf numFmtId="0" fontId="82" fillId="0" borderId="0" xfId="10755" applyBorder="1"/>
    <xf numFmtId="49" fontId="0" fillId="0" borderId="15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 wrapText="1" indent="4"/>
    </xf>
    <xf numFmtId="0" fontId="4" fillId="0" borderId="28" xfId="0" applyFont="1" applyBorder="1" applyAlignment="1">
      <alignment vertical="center"/>
    </xf>
    <xf numFmtId="0" fontId="233" fillId="0" borderId="0" xfId="0" applyFont="1" applyFill="1" applyAlignment="1">
      <alignment vertical="center"/>
    </xf>
    <xf numFmtId="4" fontId="282" fillId="0" borderId="0" xfId="0" applyNumberFormat="1" applyFont="1" applyFill="1" applyAlignment="1">
      <alignment vertical="center"/>
    </xf>
    <xf numFmtId="2" fontId="282" fillId="0" borderId="0" xfId="0" applyNumberFormat="1" applyFont="1" applyFill="1" applyAlignment="1">
      <alignment vertical="center"/>
    </xf>
    <xf numFmtId="0" fontId="237" fillId="0" borderId="0" xfId="0" applyFont="1" applyBorder="1" applyAlignment="1">
      <alignment vertical="center"/>
    </xf>
    <xf numFmtId="166" fontId="11" fillId="34" borderId="15" xfId="0" applyNumberFormat="1" applyFont="1" applyFill="1" applyBorder="1" applyAlignment="1" applyProtection="1">
      <alignment horizontal="center" vertical="center"/>
    </xf>
    <xf numFmtId="166" fontId="10" fillId="34" borderId="15" xfId="0" applyNumberFormat="1" applyFont="1" applyFill="1" applyBorder="1" applyAlignment="1" applyProtection="1">
      <alignment horizontal="center" vertical="center"/>
    </xf>
    <xf numFmtId="0" fontId="78" fillId="33" borderId="0" xfId="0" applyNumberFormat="1" applyFont="1" applyFill="1" applyBorder="1" applyAlignment="1" applyProtection="1">
      <alignment horizontal="right" vertical="center" wrapText="1" indent="1"/>
    </xf>
    <xf numFmtId="0" fontId="40" fillId="0" borderId="0" xfId="0" applyFont="1"/>
    <xf numFmtId="0" fontId="40" fillId="0" borderId="0" xfId="0" applyFont="1" applyAlignment="1">
      <alignment horizontal="center"/>
    </xf>
    <xf numFmtId="0" fontId="287" fillId="0" borderId="15" xfId="2" applyNumberFormat="1" applyFont="1" applyFill="1" applyBorder="1" applyAlignment="1" applyProtection="1">
      <alignment horizontal="left" vertical="center" wrapText="1" indent="3"/>
    </xf>
    <xf numFmtId="49" fontId="29" fillId="0" borderId="15" xfId="0" applyNumberFormat="1" applyFont="1" applyFill="1" applyBorder="1" applyAlignment="1" applyProtection="1">
      <alignment horizontal="right" vertical="center" wrapText="1" indent="4"/>
    </xf>
    <xf numFmtId="4" fontId="286" fillId="49" borderId="15" xfId="0" applyNumberFormat="1" applyFont="1" applyFill="1" applyBorder="1" applyAlignment="1" applyProtection="1">
      <alignment horizontal="left" vertical="center" wrapText="1"/>
    </xf>
    <xf numFmtId="43" fontId="82" fillId="0" borderId="0" xfId="1" applyFont="1"/>
    <xf numFmtId="43" fontId="82" fillId="0" borderId="0" xfId="10755" applyNumberFormat="1"/>
    <xf numFmtId="0" fontId="0" fillId="0" borderId="15" xfId="0" applyBorder="1" applyAlignment="1">
      <alignment horizontal="center" wrapText="1"/>
    </xf>
    <xf numFmtId="0" fontId="232" fillId="0" borderId="15" xfId="0" applyFont="1" applyFill="1" applyBorder="1"/>
    <xf numFmtId="4" fontId="232" fillId="0" borderId="15" xfId="0" applyNumberFormat="1" applyFont="1" applyBorder="1"/>
    <xf numFmtId="49" fontId="0" fillId="0" borderId="15" xfId="0" applyNumberFormat="1" applyFill="1" applyBorder="1" applyAlignment="1">
      <alignment horizontal="center"/>
    </xf>
    <xf numFmtId="0" fontId="290" fillId="0" borderId="0" xfId="0" applyFont="1" applyAlignment="1">
      <alignment horizontal="center"/>
    </xf>
    <xf numFmtId="4" fontId="275" fillId="0" borderId="0" xfId="10755" applyNumberFormat="1" applyFont="1" applyBorder="1"/>
    <xf numFmtId="4" fontId="275" fillId="0" borderId="0" xfId="10755" applyNumberFormat="1" applyFont="1"/>
    <xf numFmtId="49" fontId="0" fillId="0" borderId="15" xfId="0" applyNumberFormat="1" applyFill="1" applyBorder="1" applyAlignment="1">
      <alignment horizontal="center"/>
    </xf>
    <xf numFmtId="49" fontId="232" fillId="145" borderId="15" xfId="0" applyNumberFormat="1" applyFont="1" applyFill="1" applyBorder="1" applyAlignment="1">
      <alignment horizontal="center"/>
    </xf>
    <xf numFmtId="0" fontId="232" fillId="145" borderId="15" xfId="0" applyFont="1" applyFill="1" applyBorder="1"/>
    <xf numFmtId="0" fontId="232" fillId="145" borderId="15" xfId="0" applyFont="1" applyFill="1" applyBorder="1" applyAlignment="1">
      <alignment horizontal="center" vertical="center"/>
    </xf>
    <xf numFmtId="0" fontId="232" fillId="145" borderId="15" xfId="0" applyFont="1" applyFill="1" applyBorder="1" applyAlignment="1">
      <alignment horizontal="center"/>
    </xf>
    <xf numFmtId="0" fontId="291" fillId="0" borderId="0" xfId="10755" applyFont="1"/>
    <xf numFmtId="0" fontId="291" fillId="54" borderId="0" xfId="10755" applyFont="1" applyFill="1"/>
    <xf numFmtId="43" fontId="291" fillId="0" borderId="0" xfId="1" applyFont="1"/>
    <xf numFmtId="43" fontId="291" fillId="54" borderId="0" xfId="1" applyFont="1" applyFill="1"/>
    <xf numFmtId="43" fontId="291" fillId="0" borderId="0" xfId="10755" applyNumberFormat="1" applyFont="1"/>
    <xf numFmtId="2" fontId="33" fillId="147" borderId="0" xfId="0" applyNumberFormat="1" applyFont="1" applyFill="1" applyBorder="1" applyAlignment="1" applyProtection="1">
      <alignment horizontal="center" vertical="center" wrapText="1"/>
    </xf>
    <xf numFmtId="2" fontId="13" fillId="147" borderId="0" xfId="0" applyNumberFormat="1" applyFont="1" applyFill="1" applyBorder="1" applyAlignment="1" applyProtection="1">
      <alignment horizontal="center" vertical="center" wrapText="1"/>
    </xf>
    <xf numFmtId="2" fontId="0" fillId="54" borderId="0" xfId="0" applyNumberFormat="1" applyFill="1" applyBorder="1" applyAlignment="1">
      <alignment vertical="center"/>
    </xf>
    <xf numFmtId="4" fontId="240" fillId="0" borderId="0" xfId="10755" applyNumberFormat="1" applyFont="1"/>
    <xf numFmtId="43" fontId="0" fillId="0" borderId="15" xfId="0" applyNumberFormat="1" applyBorder="1" applyAlignment="1">
      <alignment horizontal="center"/>
    </xf>
    <xf numFmtId="0" fontId="241" fillId="0" borderId="62" xfId="0" applyFont="1" applyBorder="1" applyAlignment="1">
      <alignment horizontal="center" vertical="center" wrapText="1"/>
    </xf>
    <xf numFmtId="0" fontId="241" fillId="0" borderId="16" xfId="0" applyFont="1" applyBorder="1" applyAlignment="1">
      <alignment horizontal="center" vertical="center"/>
    </xf>
    <xf numFmtId="4" fontId="241" fillId="0" borderId="62" xfId="0" applyNumberFormat="1" applyFont="1" applyBorder="1"/>
    <xf numFmtId="4" fontId="241" fillId="0" borderId="16" xfId="0" applyNumberFormat="1" applyFont="1" applyBorder="1"/>
    <xf numFmtId="4" fontId="241" fillId="0" borderId="23" xfId="0" applyNumberFormat="1" applyFont="1" applyBorder="1"/>
    <xf numFmtId="4" fontId="241" fillId="0" borderId="24" xfId="0" applyNumberFormat="1" applyFont="1" applyBorder="1"/>
    <xf numFmtId="0" fontId="241" fillId="0" borderId="90" xfId="0" applyFont="1" applyBorder="1"/>
    <xf numFmtId="0" fontId="241" fillId="0" borderId="94" xfId="0" applyFont="1" applyBorder="1"/>
    <xf numFmtId="0" fontId="241" fillId="0" borderId="20" xfId="0" applyFont="1" applyBorder="1" applyAlignment="1">
      <alignment horizontal="center" vertical="center"/>
    </xf>
    <xf numFmtId="4" fontId="241" fillId="0" borderId="20" xfId="0" applyNumberFormat="1" applyFont="1" applyBorder="1"/>
    <xf numFmtId="4" fontId="241" fillId="0" borderId="22" xfId="0" applyNumberFormat="1" applyFont="1" applyBorder="1"/>
    <xf numFmtId="4" fontId="241" fillId="0" borderId="90" xfId="0" applyNumberFormat="1" applyFont="1" applyBorder="1"/>
    <xf numFmtId="4" fontId="241" fillId="0" borderId="94" xfId="0" applyNumberFormat="1" applyFont="1" applyBorder="1"/>
    <xf numFmtId="4" fontId="25" fillId="157" borderId="15" xfId="0" applyNumberFormat="1" applyFont="1" applyFill="1" applyBorder="1" applyAlignment="1" applyProtection="1">
      <alignment horizontal="center" vertical="center"/>
    </xf>
    <xf numFmtId="4" fontId="33" fillId="44" borderId="15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4" fontId="232" fillId="54" borderId="0" xfId="0" applyNumberFormat="1" applyFont="1" applyFill="1"/>
    <xf numFmtId="49" fontId="6" fillId="158" borderId="15" xfId="0" applyNumberFormat="1" applyFont="1" applyFill="1" applyBorder="1" applyAlignment="1" applyProtection="1">
      <alignment horizontal="left" vertical="center" wrapText="1" indent="3"/>
    </xf>
    <xf numFmtId="4" fontId="17" fillId="159" borderId="15" xfId="0" applyNumberFormat="1" applyFont="1" applyFill="1" applyBorder="1" applyAlignment="1" applyProtection="1">
      <alignment horizontal="left" vertical="center" wrapText="1"/>
    </xf>
    <xf numFmtId="49" fontId="13" fillId="159" borderId="15" xfId="0" applyNumberFormat="1" applyFont="1" applyFill="1" applyBorder="1" applyAlignment="1" applyProtection="1">
      <alignment horizontal="left" vertical="center" wrapText="1" indent="1"/>
    </xf>
    <xf numFmtId="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0" fontId="232" fillId="0" borderId="15" xfId="0" applyFont="1" applyBorder="1" applyAlignment="1">
      <alignment horizontal="left"/>
    </xf>
    <xf numFmtId="0" fontId="292" fillId="0" borderId="15" xfId="0" applyFont="1" applyBorder="1" applyAlignment="1">
      <alignment horizontal="center"/>
    </xf>
    <xf numFmtId="4" fontId="232" fillId="0" borderId="15" xfId="0" applyNumberFormat="1" applyFont="1" applyBorder="1" applyAlignment="1">
      <alignment horizontal="center"/>
    </xf>
    <xf numFmtId="241" fontId="0" fillId="0" borderId="0" xfId="0" applyNumberFormat="1" applyAlignment="1">
      <alignment horizontal="center"/>
    </xf>
    <xf numFmtId="166" fontId="23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41" fontId="0" fillId="0" borderId="15" xfId="0" applyNumberFormat="1" applyBorder="1" applyAlignment="1">
      <alignment horizontal="center"/>
    </xf>
    <xf numFmtId="4" fontId="292" fillId="0" borderId="15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284" fillId="33" borderId="15" xfId="0" applyNumberFormat="1" applyFont="1" applyFill="1" applyBorder="1" applyAlignment="1" applyProtection="1">
      <alignment horizontal="right" vertical="center" wrapText="1" indent="1"/>
    </xf>
    <xf numFmtId="9" fontId="282" fillId="0" borderId="15" xfId="0" applyNumberFormat="1" applyFont="1" applyBorder="1"/>
    <xf numFmtId="4" fontId="282" fillId="0" borderId="15" xfId="0" applyNumberFormat="1" applyFont="1" applyBorder="1" applyAlignment="1">
      <alignment horizontal="center"/>
    </xf>
    <xf numFmtId="0" fontId="282" fillId="0" borderId="0" xfId="0" applyFont="1" applyAlignment="1">
      <alignment horizontal="center"/>
    </xf>
    <xf numFmtId="0" fontId="29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93" fillId="0" borderId="15" xfId="0" applyFont="1" applyBorder="1" applyAlignment="1">
      <alignment horizontal="left"/>
    </xf>
    <xf numFmtId="242" fontId="0" fillId="0" borderId="0" xfId="0" applyNumberFormat="1"/>
    <xf numFmtId="4" fontId="293" fillId="0" borderId="15" xfId="0" applyNumberFormat="1" applyFont="1" applyBorder="1" applyAlignment="1">
      <alignment horizontal="center"/>
    </xf>
    <xf numFmtId="4" fontId="30" fillId="159" borderId="15" xfId="0" applyNumberFormat="1" applyFont="1" applyFill="1" applyBorder="1" applyAlignment="1" applyProtection="1">
      <alignment horizontal="left" vertical="center" wrapText="1"/>
    </xf>
    <xf numFmtId="49" fontId="6" fillId="160" borderId="15" xfId="0" applyNumberFormat="1" applyFont="1" applyFill="1" applyBorder="1" applyAlignment="1" applyProtection="1">
      <alignment horizontal="left" vertical="center" wrapText="1" indent="2"/>
    </xf>
    <xf numFmtId="49" fontId="13" fillId="160" borderId="15" xfId="0" applyNumberFormat="1" applyFont="1" applyFill="1" applyBorder="1" applyAlignment="1" applyProtection="1">
      <alignment horizontal="left" vertical="center" wrapText="1" indent="1"/>
    </xf>
    <xf numFmtId="49" fontId="6" fillId="34" borderId="38" xfId="0" applyNumberFormat="1" applyFont="1" applyFill="1" applyBorder="1" applyAlignment="1" applyProtection="1">
      <alignment horizontal="center" vertical="center" wrapText="1"/>
    </xf>
    <xf numFmtId="4" fontId="11" fillId="34" borderId="38" xfId="0" applyNumberFormat="1" applyFont="1" applyFill="1" applyBorder="1" applyAlignment="1" applyProtection="1">
      <alignment horizontal="center" vertical="center"/>
    </xf>
    <xf numFmtId="166" fontId="11" fillId="34" borderId="38" xfId="0" applyNumberFormat="1" applyFont="1" applyFill="1" applyBorder="1" applyAlignment="1" applyProtection="1">
      <alignment horizontal="center" vertical="center"/>
    </xf>
    <xf numFmtId="4" fontId="22" fillId="34" borderId="20" xfId="0" quotePrefix="1" applyNumberFormat="1" applyFont="1" applyFill="1" applyBorder="1" applyAlignment="1" applyProtection="1">
      <alignment horizontal="center" vertical="center"/>
    </xf>
    <xf numFmtId="4" fontId="11" fillId="38" borderId="20" xfId="0" applyNumberFormat="1" applyFont="1" applyFill="1" applyBorder="1" applyAlignment="1" applyProtection="1">
      <alignment horizontal="center" vertical="center"/>
      <protection locked="0"/>
    </xf>
    <xf numFmtId="4" fontId="11" fillId="34" borderId="20" xfId="0" quotePrefix="1" applyNumberFormat="1" applyFont="1" applyFill="1" applyBorder="1" applyAlignment="1" applyProtection="1">
      <alignment horizontal="center" vertical="center"/>
    </xf>
    <xf numFmtId="4" fontId="11" fillId="34" borderId="20" xfId="0" applyNumberFormat="1" applyFont="1" applyFill="1" applyBorder="1" applyAlignment="1" applyProtection="1">
      <alignment horizontal="center" vertical="center"/>
    </xf>
    <xf numFmtId="49" fontId="11" fillId="35" borderId="20" xfId="0" applyNumberFormat="1" applyFont="1" applyFill="1" applyBorder="1" applyAlignment="1" applyProtection="1">
      <alignment horizontal="center" vertical="center"/>
    </xf>
    <xf numFmtId="4" fontId="11" fillId="38" borderId="3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</xf>
    <xf numFmtId="3" fontId="10" fillId="34" borderId="15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31" fillId="0" borderId="25" xfId="0" applyNumberFormat="1" applyFont="1" applyFill="1" applyBorder="1" applyAlignment="1" applyProtection="1">
      <alignment horizontal="center" vertical="center" wrapText="1"/>
    </xf>
    <xf numFmtId="0" fontId="6" fillId="34" borderId="15" xfId="0" applyNumberFormat="1" applyFont="1" applyFill="1" applyBorder="1" applyAlignment="1" applyProtection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 applyProtection="1">
      <alignment horizontal="left" vertical="center" wrapText="1"/>
    </xf>
    <xf numFmtId="0" fontId="6" fillId="33" borderId="52" xfId="0" applyNumberFormat="1" applyFont="1" applyFill="1" applyBorder="1" applyAlignment="1" applyProtection="1">
      <alignment horizontal="left" vertical="center" wrapText="1"/>
    </xf>
    <xf numFmtId="49" fontId="6" fillId="34" borderId="19" xfId="0" applyNumberFormat="1" applyFont="1" applyFill="1" applyBorder="1" applyAlignment="1" applyProtection="1">
      <alignment horizontal="center" vertical="center" wrapText="1"/>
    </xf>
    <xf numFmtId="49" fontId="6" fillId="34" borderId="26" xfId="0" applyNumberFormat="1" applyFont="1" applyFill="1" applyBorder="1" applyAlignment="1" applyProtection="1">
      <alignment horizontal="center" vertical="center" wrapText="1"/>
    </xf>
    <xf numFmtId="49" fontId="6" fillId="34" borderId="52" xfId="0" applyNumberFormat="1" applyFont="1" applyFill="1" applyBorder="1" applyAlignment="1" applyProtection="1">
      <alignment horizontal="center" vertical="center" wrapText="1"/>
    </xf>
    <xf numFmtId="3" fontId="10" fillId="34" borderId="26" xfId="0" applyNumberFormat="1" applyFont="1" applyFill="1" applyBorder="1" applyAlignment="1" applyProtection="1">
      <alignment horizontal="center" vertical="center"/>
    </xf>
    <xf numFmtId="49" fontId="12" fillId="35" borderId="13" xfId="0" applyNumberFormat="1" applyFont="1" applyFill="1" applyBorder="1" applyAlignment="1" applyProtection="1">
      <alignment horizontal="center" vertical="center" wrapText="1"/>
    </xf>
    <xf numFmtId="49" fontId="12" fillId="37" borderId="62" xfId="0" applyNumberFormat="1" applyFont="1" applyFill="1" applyBorder="1" applyAlignment="1" applyProtection="1">
      <alignment horizontal="center" vertical="center" wrapText="1"/>
    </xf>
    <xf numFmtId="49" fontId="12" fillId="35" borderId="62" xfId="0" applyNumberFormat="1" applyFont="1" applyFill="1" applyBorder="1" applyAlignment="1" applyProtection="1">
      <alignment horizontal="center" vertical="center" wrapText="1"/>
    </xf>
    <xf numFmtId="49" fontId="12" fillId="39" borderId="62" xfId="0" applyNumberFormat="1" applyFont="1" applyFill="1" applyBorder="1" applyAlignment="1" applyProtection="1">
      <alignment horizontal="center" vertical="center"/>
    </xf>
    <xf numFmtId="49" fontId="16" fillId="42" borderId="62" xfId="0" applyNumberFormat="1" applyFont="1" applyFill="1" applyBorder="1" applyAlignment="1" applyProtection="1">
      <alignment horizontal="center" vertical="center" wrapText="1"/>
    </xf>
    <xf numFmtId="49" fontId="20" fillId="35" borderId="62" xfId="0" applyNumberFormat="1" applyFont="1" applyFill="1" applyBorder="1" applyAlignment="1" applyProtection="1">
      <alignment horizontal="center" vertical="center" wrapText="1"/>
    </xf>
    <xf numFmtId="49" fontId="12" fillId="42" borderId="62" xfId="0" applyNumberFormat="1" applyFont="1" applyFill="1" applyBorder="1" applyAlignment="1" applyProtection="1">
      <alignment horizontal="center" vertical="center" wrapText="1"/>
    </xf>
    <xf numFmtId="49" fontId="12" fillId="45" borderId="62" xfId="0" applyNumberFormat="1" applyFont="1" applyFill="1" applyBorder="1" applyAlignment="1" applyProtection="1">
      <alignment horizontal="center" vertical="center" wrapText="1"/>
    </xf>
    <xf numFmtId="49" fontId="12" fillId="46" borderId="62" xfId="0" applyNumberFormat="1" applyFont="1" applyFill="1" applyBorder="1" applyAlignment="1" applyProtection="1">
      <alignment horizontal="center" vertical="center"/>
    </xf>
    <xf numFmtId="49" fontId="6" fillId="35" borderId="62" xfId="0" applyNumberFormat="1" applyFont="1" applyFill="1" applyBorder="1" applyAlignment="1" applyProtection="1">
      <alignment horizontal="center" vertical="center" wrapText="1"/>
    </xf>
    <xf numFmtId="49" fontId="12" fillId="42" borderId="62" xfId="0" applyNumberFormat="1" applyFont="1" applyFill="1" applyBorder="1" applyAlignment="1" applyProtection="1">
      <alignment horizontal="center" vertical="center"/>
    </xf>
    <xf numFmtId="49" fontId="12" fillId="35" borderId="23" xfId="0" applyNumberFormat="1" applyFont="1" applyFill="1" applyBorder="1" applyAlignment="1" applyProtection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indent="1"/>
    </xf>
    <xf numFmtId="0" fontId="6" fillId="33" borderId="21" xfId="0" applyNumberFormat="1" applyFont="1" applyFill="1" applyBorder="1" applyAlignment="1" applyProtection="1">
      <alignment horizontal="right" vertical="center" wrapText="1" indent="1"/>
    </xf>
    <xf numFmtId="49" fontId="6" fillId="33" borderId="21" xfId="0" applyNumberFormat="1" applyFont="1" applyFill="1" applyBorder="1" applyAlignment="1" applyProtection="1">
      <alignment horizontal="center" vertical="center" wrapText="1"/>
    </xf>
    <xf numFmtId="4" fontId="11" fillId="38" borderId="21" xfId="0" applyNumberFormat="1" applyFont="1" applyFill="1" applyBorder="1" applyAlignment="1" applyProtection="1">
      <alignment horizontal="center" vertical="center"/>
      <protection locked="0"/>
    </xf>
    <xf numFmtId="4" fontId="10" fillId="38" borderId="21" xfId="0" applyNumberFormat="1" applyFont="1" applyFill="1" applyBorder="1" applyAlignment="1" applyProtection="1">
      <alignment horizontal="center" vertical="center"/>
      <protection locked="0"/>
    </xf>
    <xf numFmtId="0" fontId="242" fillId="161" borderId="15" xfId="10755" applyFont="1" applyFill="1" applyBorder="1" applyAlignment="1">
      <alignment horizontal="center" wrapText="1"/>
    </xf>
    <xf numFmtId="10" fontId="239" fillId="0" borderId="15" xfId="10755" applyNumberFormat="1" applyFont="1" applyBorder="1"/>
    <xf numFmtId="10" fontId="239" fillId="156" borderId="86" xfId="10755" applyNumberFormat="1" applyFont="1" applyFill="1" applyBorder="1"/>
    <xf numFmtId="0" fontId="31" fillId="0" borderId="38" xfId="0" applyNumberFormat="1" applyFont="1" applyFill="1" applyBorder="1" applyAlignment="1" applyProtection="1">
      <alignment horizontal="center" vertical="center" wrapText="1"/>
    </xf>
    <xf numFmtId="3" fontId="10" fillId="34" borderId="20" xfId="0" applyNumberFormat="1" applyFont="1" applyFill="1" applyBorder="1" applyAlignment="1" applyProtection="1">
      <alignment horizontal="center" vertical="center"/>
    </xf>
    <xf numFmtId="3" fontId="10" fillId="34" borderId="52" xfId="0" applyNumberFormat="1" applyFont="1" applyFill="1" applyBorder="1" applyAlignment="1" applyProtection="1">
      <alignment horizontal="center" vertical="center"/>
    </xf>
    <xf numFmtId="4" fontId="11" fillId="34" borderId="96" xfId="0" applyNumberFormat="1" applyFont="1" applyFill="1" applyBorder="1" applyAlignment="1" applyProtection="1">
      <alignment horizontal="center" vertical="center"/>
    </xf>
    <xf numFmtId="4" fontId="10" fillId="38" borderId="20" xfId="0" applyNumberFormat="1" applyFont="1" applyFill="1" applyBorder="1" applyAlignment="1" applyProtection="1">
      <alignment horizontal="center" vertical="center"/>
      <protection locked="0"/>
    </xf>
    <xf numFmtId="166" fontId="11" fillId="34" borderId="20" xfId="0" applyNumberFormat="1" applyFont="1" applyFill="1" applyBorder="1" applyAlignment="1" applyProtection="1">
      <alignment horizontal="center" vertical="center"/>
    </xf>
    <xf numFmtId="49" fontId="10" fillId="35" borderId="20" xfId="0" applyNumberFormat="1" applyFont="1" applyFill="1" applyBorder="1" applyAlignment="1" applyProtection="1">
      <alignment horizontal="center" vertical="center"/>
    </xf>
    <xf numFmtId="4" fontId="10" fillId="34" borderId="20" xfId="0" applyNumberFormat="1" applyFont="1" applyFill="1" applyBorder="1" applyAlignment="1" applyProtection="1">
      <alignment horizontal="center" vertical="center"/>
    </xf>
    <xf numFmtId="49" fontId="78" fillId="35" borderId="20" xfId="0" applyNumberFormat="1" applyFont="1" applyFill="1" applyBorder="1" applyAlignment="1" applyProtection="1">
      <alignment horizontal="center" vertical="center"/>
    </xf>
    <xf numFmtId="4" fontId="78" fillId="38" borderId="20" xfId="0" applyNumberFormat="1" applyFont="1" applyFill="1" applyBorder="1" applyAlignment="1" applyProtection="1">
      <alignment horizontal="center" vertical="center"/>
      <protection locked="0"/>
    </xf>
    <xf numFmtId="4" fontId="237" fillId="38" borderId="20" xfId="0" applyNumberFormat="1" applyFont="1" applyFill="1" applyBorder="1" applyAlignment="1" applyProtection="1">
      <alignment horizontal="center" vertical="center"/>
      <protection locked="0"/>
    </xf>
    <xf numFmtId="4" fontId="237" fillId="34" borderId="20" xfId="0" applyNumberFormat="1" applyFont="1" applyFill="1" applyBorder="1" applyAlignment="1" applyProtection="1">
      <alignment horizontal="center" vertical="center"/>
    </xf>
    <xf numFmtId="4" fontId="18" fillId="38" borderId="20" xfId="0" applyNumberFormat="1" applyFont="1" applyFill="1" applyBorder="1" applyAlignment="1" applyProtection="1">
      <alignment horizontal="center" vertical="center"/>
      <protection locked="0"/>
    </xf>
    <xf numFmtId="4" fontId="10" fillId="44" borderId="20" xfId="0" applyNumberFormat="1" applyFont="1" applyFill="1" applyBorder="1" applyAlignment="1" applyProtection="1">
      <alignment horizontal="center" vertical="center"/>
      <protection locked="0"/>
    </xf>
    <xf numFmtId="4" fontId="23" fillId="34" borderId="20" xfId="0" applyNumberFormat="1" applyFont="1" applyFill="1" applyBorder="1" applyAlignment="1" applyProtection="1">
      <alignment horizontal="center" vertical="center"/>
    </xf>
    <xf numFmtId="4" fontId="10" fillId="35" borderId="20" xfId="0" applyNumberFormat="1" applyFont="1" applyFill="1" applyBorder="1" applyAlignment="1" applyProtection="1">
      <alignment horizontal="center" vertical="center"/>
    </xf>
    <xf numFmtId="4" fontId="11" fillId="35" borderId="20" xfId="0" applyNumberFormat="1" applyFont="1" applyFill="1" applyBorder="1" applyAlignment="1" applyProtection="1">
      <alignment horizontal="center" vertical="center"/>
    </xf>
    <xf numFmtId="9" fontId="11" fillId="35" borderId="20" xfId="0" applyNumberFormat="1" applyFont="1" applyFill="1" applyBorder="1" applyAlignment="1" applyProtection="1">
      <alignment horizontal="center" vertical="center"/>
    </xf>
    <xf numFmtId="4" fontId="10" fillId="35" borderId="20" xfId="0" applyNumberFormat="1" applyFont="1" applyFill="1" applyBorder="1" applyAlignment="1" applyProtection="1">
      <alignment horizontal="center" vertical="top"/>
    </xf>
    <xf numFmtId="49" fontId="10" fillId="35" borderId="20" xfId="0" applyNumberFormat="1" applyFont="1" applyFill="1" applyBorder="1" applyAlignment="1" applyProtection="1">
      <alignment horizontal="center" vertical="center" wrapText="1"/>
    </xf>
    <xf numFmtId="4" fontId="25" fillId="34" borderId="20" xfId="0" applyNumberFormat="1" applyFont="1" applyFill="1" applyBorder="1" applyAlignment="1" applyProtection="1">
      <alignment horizontal="center" vertical="center"/>
    </xf>
    <xf numFmtId="4" fontId="10" fillId="34" borderId="20" xfId="0" quotePrefix="1" applyNumberFormat="1" applyFont="1" applyFill="1" applyBorder="1" applyAlignment="1" applyProtection="1">
      <alignment horizontal="center" vertical="center"/>
    </xf>
    <xf numFmtId="4" fontId="10" fillId="38" borderId="22" xfId="0" applyNumberFormat="1" applyFont="1" applyFill="1" applyBorder="1" applyAlignment="1" applyProtection="1">
      <alignment horizontal="center" vertical="center"/>
      <protection locked="0"/>
    </xf>
    <xf numFmtId="0" fontId="6" fillId="34" borderId="62" xfId="0" applyNumberFormat="1" applyFont="1" applyFill="1" applyBorder="1" applyAlignment="1" applyProtection="1">
      <alignment horizontal="center" vertical="center" wrapText="1"/>
    </xf>
    <xf numFmtId="0" fontId="6" fillId="34" borderId="16" xfId="0" applyNumberFormat="1" applyFont="1" applyFill="1" applyBorder="1" applyAlignment="1" applyProtection="1">
      <alignment horizontal="center" vertical="center" wrapText="1"/>
    </xf>
    <xf numFmtId="3" fontId="11" fillId="34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10" fontId="280" fillId="0" borderId="0" xfId="16845" applyNumberFormat="1" applyFont="1" applyBorder="1" applyAlignment="1">
      <alignment horizontal="center"/>
    </xf>
    <xf numFmtId="0" fontId="272" fillId="0" borderId="0" xfId="0" applyFont="1" applyBorder="1" applyAlignment="1">
      <alignment vertical="center" wrapText="1"/>
    </xf>
    <xf numFmtId="3" fontId="0" fillId="0" borderId="0" xfId="0" applyNumberFormat="1" applyBorder="1"/>
    <xf numFmtId="0" fontId="277" fillId="54" borderId="15" xfId="0" applyFont="1" applyFill="1" applyBorder="1"/>
    <xf numFmtId="0" fontId="277" fillId="162" borderId="15" xfId="0" applyFont="1" applyFill="1" applyBorder="1"/>
    <xf numFmtId="0" fontId="277" fillId="163" borderId="0" xfId="0" applyFont="1" applyFill="1"/>
    <xf numFmtId="3" fontId="272" fillId="0" borderId="20" xfId="0" applyNumberFormat="1" applyFont="1" applyBorder="1" applyAlignment="1">
      <alignment vertical="center" wrapText="1"/>
    </xf>
    <xf numFmtId="0" fontId="274" fillId="163" borderId="91" xfId="0" applyFont="1" applyFill="1" applyBorder="1" applyAlignment="1">
      <alignment vertical="center" wrapText="1"/>
    </xf>
    <xf numFmtId="3" fontId="272" fillId="163" borderId="62" xfId="0" applyNumberFormat="1" applyFont="1" applyFill="1" applyBorder="1" applyAlignment="1">
      <alignment vertical="center" wrapText="1"/>
    </xf>
    <xf numFmtId="3" fontId="272" fillId="163" borderId="16" xfId="0" applyNumberFormat="1" applyFont="1" applyFill="1" applyBorder="1" applyAlignment="1">
      <alignment vertical="center" wrapText="1"/>
    </xf>
    <xf numFmtId="3" fontId="272" fillId="163" borderId="15" xfId="0" applyNumberFormat="1" applyFont="1" applyFill="1" applyBorder="1" applyAlignment="1">
      <alignment vertical="center" wrapText="1"/>
    </xf>
    <xf numFmtId="3" fontId="232" fillId="54" borderId="0" xfId="0" applyNumberFormat="1" applyFont="1" applyFill="1" applyBorder="1"/>
    <xf numFmtId="3" fontId="232" fillId="163" borderId="0" xfId="0" applyNumberFormat="1" applyFont="1" applyFill="1" applyBorder="1"/>
    <xf numFmtId="4" fontId="242" fillId="54" borderId="15" xfId="0" applyNumberFormat="1" applyFont="1" applyFill="1" applyBorder="1"/>
    <xf numFmtId="10" fontId="241" fillId="54" borderId="15" xfId="0" applyNumberFormat="1" applyFont="1" applyFill="1" applyBorder="1"/>
    <xf numFmtId="0" fontId="294" fillId="0" borderId="15" xfId="0" applyFont="1" applyBorder="1"/>
    <xf numFmtId="10" fontId="242" fillId="0" borderId="15" xfId="0" applyNumberFormat="1" applyFont="1" applyBorder="1"/>
    <xf numFmtId="4" fontId="237" fillId="44" borderId="15" xfId="0" applyNumberFormat="1" applyFont="1" applyFill="1" applyBorder="1" applyAlignment="1" applyProtection="1">
      <alignment horizontal="center" vertical="center"/>
      <protection locked="0"/>
    </xf>
    <xf numFmtId="49" fontId="237" fillId="35" borderId="15" xfId="0" applyNumberFormat="1" applyFont="1" applyFill="1" applyBorder="1" applyAlignment="1" applyProtection="1">
      <alignment horizontal="center" vertical="center"/>
    </xf>
    <xf numFmtId="4" fontId="237" fillId="35" borderId="15" xfId="0" applyNumberFormat="1" applyFont="1" applyFill="1" applyBorder="1" applyAlignment="1" applyProtection="1">
      <alignment horizontal="center" vertical="center"/>
    </xf>
    <xf numFmtId="9" fontId="237" fillId="35" borderId="15" xfId="0" applyNumberFormat="1" applyFont="1" applyFill="1" applyBorder="1" applyAlignment="1" applyProtection="1">
      <alignment horizontal="center" vertical="center"/>
    </xf>
    <xf numFmtId="4" fontId="237" fillId="35" borderId="15" xfId="0" applyNumberFormat="1" applyFont="1" applyFill="1" applyBorder="1" applyAlignment="1" applyProtection="1">
      <alignment horizontal="center" vertical="top"/>
    </xf>
    <xf numFmtId="49" fontId="237" fillId="35" borderId="15" xfId="0" applyNumberFormat="1" applyFont="1" applyFill="1" applyBorder="1" applyAlignment="1" applyProtection="1">
      <alignment horizontal="center" vertical="center" wrapText="1"/>
    </xf>
    <xf numFmtId="0" fontId="262" fillId="0" borderId="90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62" fillId="148" borderId="82" xfId="0" applyFont="1" applyFill="1" applyBorder="1" applyAlignment="1">
      <alignment horizontal="center" vertical="center" wrapText="1"/>
    </xf>
    <xf numFmtId="0" fontId="265" fillId="149" borderId="20" xfId="0" applyFont="1" applyFill="1" applyBorder="1" applyAlignment="1">
      <alignment vertical="center" wrapText="1"/>
    </xf>
    <xf numFmtId="3" fontId="263" fillId="0" borderId="20" xfId="0" applyNumberFormat="1" applyFont="1" applyBorder="1" applyAlignment="1">
      <alignment horizontal="right" vertical="center" wrapText="1"/>
    </xf>
    <xf numFmtId="3" fontId="266" fillId="0" borderId="20" xfId="0" applyNumberFormat="1" applyFont="1" applyBorder="1" applyAlignment="1">
      <alignment horizontal="right" vertical="center" wrapText="1"/>
    </xf>
    <xf numFmtId="0" fontId="262" fillId="0" borderId="20" xfId="0" applyFont="1" applyBorder="1" applyAlignment="1">
      <alignment horizontal="right" vertical="center" wrapText="1"/>
    </xf>
    <xf numFmtId="0" fontId="262" fillId="0" borderId="20" xfId="0" applyFont="1" applyBorder="1" applyAlignment="1">
      <alignment vertical="center" wrapText="1"/>
    </xf>
    <xf numFmtId="0" fontId="263" fillId="0" borderId="20" xfId="0" applyFont="1" applyBorder="1" applyAlignment="1">
      <alignment vertical="center" wrapText="1"/>
    </xf>
    <xf numFmtId="3" fontId="269" fillId="41" borderId="20" xfId="0" applyNumberFormat="1" applyFont="1" applyFill="1" applyBorder="1" applyAlignment="1">
      <alignment horizontal="right" vertical="center" wrapText="1"/>
    </xf>
    <xf numFmtId="3" fontId="263" fillId="143" borderId="20" xfId="0" applyNumberFormat="1" applyFont="1" applyFill="1" applyBorder="1" applyAlignment="1">
      <alignment horizontal="right" vertical="center" wrapText="1"/>
    </xf>
    <xf numFmtId="3" fontId="272" fillId="0" borderId="20" xfId="0" applyNumberFormat="1" applyFont="1" applyBorder="1" applyAlignment="1">
      <alignment horizontal="right" vertical="center" wrapText="1"/>
    </xf>
    <xf numFmtId="3" fontId="263" fillId="0" borderId="20" xfId="0" applyNumberFormat="1" applyFont="1" applyBorder="1" applyAlignment="1">
      <alignment vertical="center" wrapText="1"/>
    </xf>
    <xf numFmtId="3" fontId="263" fillId="41" borderId="20" xfId="0" applyNumberFormat="1" applyFont="1" applyFill="1" applyBorder="1" applyAlignment="1">
      <alignment vertical="center" wrapText="1"/>
    </xf>
    <xf numFmtId="3" fontId="272" fillId="163" borderId="20" xfId="0" applyNumberFormat="1" applyFont="1" applyFill="1" applyBorder="1" applyAlignment="1">
      <alignment vertical="center" wrapText="1"/>
    </xf>
    <xf numFmtId="3" fontId="45" fillId="0" borderId="20" xfId="0" applyNumberFormat="1" applyFont="1" applyBorder="1" applyAlignment="1">
      <alignment vertical="center" wrapText="1"/>
    </xf>
    <xf numFmtId="3" fontId="262" fillId="151" borderId="20" xfId="0" applyNumberFormat="1" applyFont="1" applyFill="1" applyBorder="1" applyAlignment="1">
      <alignment vertical="center" wrapText="1"/>
    </xf>
    <xf numFmtId="3" fontId="263" fillId="153" borderId="52" xfId="0" applyNumberFormat="1" applyFont="1" applyFill="1" applyBorder="1" applyAlignment="1">
      <alignment vertical="center" wrapText="1"/>
    </xf>
    <xf numFmtId="3" fontId="263" fillId="150" borderId="82" xfId="0" applyNumberFormat="1" applyFont="1" applyFill="1" applyBorder="1" applyAlignment="1">
      <alignment horizontal="right" vertical="center" wrapText="1"/>
    </xf>
    <xf numFmtId="0" fontId="265" fillId="149" borderId="30" xfId="0" applyFont="1" applyFill="1" applyBorder="1" applyAlignment="1">
      <alignment vertical="center" wrapText="1"/>
    </xf>
    <xf numFmtId="3" fontId="263" fillId="0" borderId="30" xfId="0" applyNumberFormat="1" applyFont="1" applyBorder="1" applyAlignment="1">
      <alignment horizontal="right" vertical="center" wrapText="1"/>
    </xf>
    <xf numFmtId="3" fontId="266" fillId="0" borderId="30" xfId="0" applyNumberFormat="1" applyFont="1" applyBorder="1" applyAlignment="1">
      <alignment horizontal="right" vertical="center" wrapText="1"/>
    </xf>
    <xf numFmtId="0" fontId="262" fillId="0" borderId="30" xfId="0" applyFont="1" applyBorder="1" applyAlignment="1">
      <alignment horizontal="right" vertical="center" wrapText="1"/>
    </xf>
    <xf numFmtId="0" fontId="262" fillId="0" borderId="30" xfId="0" applyFont="1" applyBorder="1" applyAlignment="1">
      <alignment vertical="center" wrapText="1"/>
    </xf>
    <xf numFmtId="0" fontId="263" fillId="0" borderId="30" xfId="0" applyFont="1" applyBorder="1" applyAlignment="1">
      <alignment vertical="center" wrapText="1"/>
    </xf>
    <xf numFmtId="3" fontId="262" fillId="0" borderId="30" xfId="0" applyNumberFormat="1" applyFont="1" applyBorder="1" applyAlignment="1">
      <alignment horizontal="right" vertical="center" wrapText="1"/>
    </xf>
    <xf numFmtId="3" fontId="269" fillId="41" borderId="30" xfId="0" applyNumberFormat="1" applyFont="1" applyFill="1" applyBorder="1" applyAlignment="1">
      <alignment horizontal="center" vertical="center" wrapText="1"/>
    </xf>
    <xf numFmtId="3" fontId="263" fillId="143" borderId="30" xfId="0" applyNumberFormat="1" applyFont="1" applyFill="1" applyBorder="1" applyAlignment="1">
      <alignment horizontal="right" vertical="center" wrapText="1"/>
    </xf>
    <xf numFmtId="3" fontId="272" fillId="0" borderId="30" xfId="0" applyNumberFormat="1" applyFont="1" applyBorder="1" applyAlignment="1">
      <alignment vertical="center" wrapText="1"/>
    </xf>
    <xf numFmtId="3" fontId="263" fillId="0" borderId="30" xfId="0" applyNumberFormat="1" applyFont="1" applyBorder="1" applyAlignment="1">
      <alignment vertical="center" wrapText="1"/>
    </xf>
    <xf numFmtId="3" fontId="263" fillId="41" borderId="30" xfId="0" applyNumberFormat="1" applyFont="1" applyFill="1" applyBorder="1" applyAlignment="1">
      <alignment vertical="center" wrapText="1"/>
    </xf>
    <xf numFmtId="3" fontId="263" fillId="150" borderId="105" xfId="0" applyNumberFormat="1" applyFont="1" applyFill="1" applyBorder="1" applyAlignment="1">
      <alignment horizontal="right" vertical="center" wrapText="1"/>
    </xf>
    <xf numFmtId="3" fontId="263" fillId="150" borderId="66" xfId="0" applyNumberFormat="1" applyFont="1" applyFill="1" applyBorder="1" applyAlignment="1">
      <alignment horizontal="right" vertical="center" wrapText="1"/>
    </xf>
    <xf numFmtId="3" fontId="263" fillId="150" borderId="106" xfId="0" applyNumberFormat="1" applyFont="1" applyFill="1" applyBorder="1" applyAlignment="1">
      <alignment horizontal="right" vertical="center" wrapText="1"/>
    </xf>
    <xf numFmtId="3" fontId="263" fillId="143" borderId="98" xfId="0" applyNumberFormat="1" applyFont="1" applyFill="1" applyBorder="1" applyAlignment="1">
      <alignment horizontal="right" vertical="center" wrapText="1"/>
    </xf>
    <xf numFmtId="3" fontId="263" fillId="143" borderId="99" xfId="0" applyNumberFormat="1" applyFont="1" applyFill="1" applyBorder="1" applyAlignment="1">
      <alignment horizontal="right" vertical="center" wrapText="1"/>
    </xf>
    <xf numFmtId="3" fontId="263" fillId="143" borderId="100" xfId="0" applyNumberFormat="1" applyFont="1" applyFill="1" applyBorder="1" applyAlignment="1">
      <alignment horizontal="right" vertical="center" wrapText="1"/>
    </xf>
    <xf numFmtId="3" fontId="263" fillId="153" borderId="23" xfId="0" applyNumberFormat="1" applyFont="1" applyFill="1" applyBorder="1" applyAlignment="1">
      <alignment vertical="center" wrapText="1"/>
    </xf>
    <xf numFmtId="3" fontId="263" fillId="153" borderId="21" xfId="0" applyNumberFormat="1" applyFont="1" applyFill="1" applyBorder="1" applyAlignment="1">
      <alignment vertical="center" wrapText="1"/>
    </xf>
    <xf numFmtId="3" fontId="263" fillId="153" borderId="24" xfId="0" applyNumberFormat="1" applyFont="1" applyFill="1" applyBorder="1" applyAlignment="1">
      <alignment vertical="center" wrapText="1"/>
    </xf>
    <xf numFmtId="3" fontId="263" fillId="153" borderId="50" xfId="0" applyNumberFormat="1" applyFont="1" applyFill="1" applyBorder="1" applyAlignment="1">
      <alignment vertical="center" wrapText="1"/>
    </xf>
    <xf numFmtId="3" fontId="263" fillId="153" borderId="27" xfId="0" applyNumberFormat="1" applyFont="1" applyFill="1" applyBorder="1" applyAlignment="1">
      <alignment vertical="center" wrapText="1"/>
    </xf>
    <xf numFmtId="3" fontId="263" fillId="153" borderId="107" xfId="0" applyNumberFormat="1" applyFont="1" applyFill="1" applyBorder="1" applyAlignment="1">
      <alignment vertical="center" wrapText="1"/>
    </xf>
    <xf numFmtId="3" fontId="262" fillId="151" borderId="23" xfId="0" applyNumberFormat="1" applyFont="1" applyFill="1" applyBorder="1" applyAlignment="1">
      <alignment vertical="center" wrapText="1"/>
    </xf>
    <xf numFmtId="3" fontId="262" fillId="151" borderId="21" xfId="0" applyNumberFormat="1" applyFont="1" applyFill="1" applyBorder="1" applyAlignment="1">
      <alignment vertical="center" wrapText="1"/>
    </xf>
    <xf numFmtId="3" fontId="262" fillId="151" borderId="22" xfId="0" applyNumberFormat="1" applyFont="1" applyFill="1" applyBorder="1" applyAlignment="1">
      <alignment vertical="center" wrapText="1"/>
    </xf>
    <xf numFmtId="3" fontId="263" fillId="153" borderId="14" xfId="0" applyNumberFormat="1" applyFont="1" applyFill="1" applyBorder="1" applyAlignment="1">
      <alignment vertical="center" wrapText="1"/>
    </xf>
    <xf numFmtId="3" fontId="263" fillId="153" borderId="57" xfId="0" applyNumberFormat="1" applyFont="1" applyFill="1" applyBorder="1" applyAlignment="1">
      <alignment vertical="center" wrapText="1"/>
    </xf>
    <xf numFmtId="3" fontId="272" fillId="0" borderId="17" xfId="0" applyNumberFormat="1" applyFont="1" applyBorder="1" applyAlignment="1">
      <alignment vertical="center" wrapText="1"/>
    </xf>
    <xf numFmtId="3" fontId="272" fillId="0" borderId="26" xfId="0" applyNumberFormat="1" applyFont="1" applyBorder="1" applyAlignment="1">
      <alignment vertical="center" wrapText="1"/>
    </xf>
    <xf numFmtId="3" fontId="272" fillId="0" borderId="18" xfId="0" applyNumberFormat="1" applyFont="1" applyBorder="1" applyAlignment="1">
      <alignment vertical="center" wrapText="1"/>
    </xf>
    <xf numFmtId="3" fontId="272" fillId="0" borderId="98" xfId="0" applyNumberFormat="1" applyFont="1" applyBorder="1" applyAlignment="1">
      <alignment vertical="center" wrapText="1"/>
    </xf>
    <xf numFmtId="3" fontId="272" fillId="0" borderId="99" xfId="0" applyNumberFormat="1" applyFont="1" applyBorder="1" applyAlignment="1">
      <alignment vertical="center" wrapText="1"/>
    </xf>
    <xf numFmtId="3" fontId="272" fillId="0" borderId="100" xfId="0" applyNumberFormat="1" applyFont="1" applyBorder="1" applyAlignment="1">
      <alignment vertical="center" wrapText="1"/>
    </xf>
    <xf numFmtId="3" fontId="262" fillId="151" borderId="19" xfId="0" applyNumberFormat="1" applyFont="1" applyFill="1" applyBorder="1" applyAlignment="1">
      <alignment vertical="center" wrapText="1"/>
    </xf>
    <xf numFmtId="3" fontId="262" fillId="151" borderId="26" xfId="0" applyNumberFormat="1" applyFont="1" applyFill="1" applyBorder="1" applyAlignment="1">
      <alignment vertical="center" wrapText="1"/>
    </xf>
    <xf numFmtId="3" fontId="262" fillId="151" borderId="18" xfId="0" applyNumberFormat="1" applyFont="1" applyFill="1" applyBorder="1" applyAlignment="1">
      <alignment vertical="center" wrapText="1"/>
    </xf>
    <xf numFmtId="3" fontId="263" fillId="150" borderId="109" xfId="0" applyNumberFormat="1" applyFont="1" applyFill="1" applyBorder="1" applyAlignment="1">
      <alignment horizontal="right" vertical="center" wrapText="1"/>
    </xf>
    <xf numFmtId="3" fontId="263" fillId="153" borderId="84" xfId="0" applyNumberFormat="1" applyFont="1" applyFill="1" applyBorder="1" applyAlignment="1">
      <alignment vertical="center" wrapText="1"/>
    </xf>
    <xf numFmtId="3" fontId="263" fillId="153" borderId="86" xfId="0" applyNumberFormat="1" applyFont="1" applyFill="1" applyBorder="1" applyAlignment="1">
      <alignment vertical="center" wrapText="1"/>
    </xf>
    <xf numFmtId="3" fontId="263" fillId="153" borderId="85" xfId="0" applyNumberFormat="1" applyFont="1" applyFill="1" applyBorder="1" applyAlignment="1">
      <alignment vertical="center" wrapText="1"/>
    </xf>
    <xf numFmtId="0" fontId="265" fillId="149" borderId="78" xfId="0" applyFont="1" applyFill="1" applyBorder="1" applyAlignment="1">
      <alignment vertical="center" wrapText="1"/>
    </xf>
    <xf numFmtId="0" fontId="265" fillId="149" borderId="79" xfId="0" applyFont="1" applyFill="1" applyBorder="1" applyAlignment="1">
      <alignment vertical="center" wrapText="1"/>
    </xf>
    <xf numFmtId="0" fontId="265" fillId="149" borderId="25" xfId="0" applyFont="1" applyFill="1" applyBorder="1" applyAlignment="1">
      <alignment vertical="center" wrapText="1"/>
    </xf>
    <xf numFmtId="0" fontId="265" fillId="149" borderId="38" xfId="0" applyFont="1" applyFill="1" applyBorder="1" applyAlignment="1">
      <alignment vertical="center" wrapText="1"/>
    </xf>
    <xf numFmtId="0" fontId="265" fillId="149" borderId="95" xfId="0" applyFont="1" applyFill="1" applyBorder="1" applyAlignment="1">
      <alignment vertical="center" wrapText="1"/>
    </xf>
    <xf numFmtId="0" fontId="263" fillId="143" borderId="61" xfId="0" applyFont="1" applyFill="1" applyBorder="1" applyAlignment="1">
      <alignment vertical="center" wrapText="1"/>
    </xf>
    <xf numFmtId="3" fontId="264" fillId="143" borderId="84" xfId="0" applyNumberFormat="1" applyFont="1" applyFill="1" applyBorder="1" applyAlignment="1">
      <alignment horizontal="right" vertical="center" wrapText="1"/>
    </xf>
    <xf numFmtId="3" fontId="263" fillId="143" borderId="85" xfId="0" applyNumberFormat="1" applyFont="1" applyFill="1" applyBorder="1" applyAlignment="1">
      <alignment horizontal="right" vertical="center" wrapText="1"/>
    </xf>
    <xf numFmtId="3" fontId="263" fillId="143" borderId="84" xfId="0" applyNumberFormat="1" applyFont="1" applyFill="1" applyBorder="1" applyAlignment="1">
      <alignment horizontal="right" vertical="center" wrapText="1"/>
    </xf>
    <xf numFmtId="3" fontId="263" fillId="143" borderId="86" xfId="0" applyNumberFormat="1" applyFont="1" applyFill="1" applyBorder="1" applyAlignment="1">
      <alignment horizontal="right" vertical="center" wrapText="1"/>
    </xf>
    <xf numFmtId="3" fontId="263" fillId="143" borderId="82" xfId="0" applyNumberFormat="1" applyFont="1" applyFill="1" applyBorder="1" applyAlignment="1">
      <alignment horizontal="right" vertical="center" wrapText="1"/>
    </xf>
    <xf numFmtId="3" fontId="263" fillId="143" borderId="101" xfId="0" applyNumberFormat="1" applyFont="1" applyFill="1" applyBorder="1" applyAlignment="1">
      <alignment horizontal="right" vertical="center" wrapText="1"/>
    </xf>
    <xf numFmtId="3" fontId="272" fillId="0" borderId="108" xfId="0" applyNumberFormat="1" applyFont="1" applyBorder="1" applyAlignment="1">
      <alignment vertical="center" wrapText="1"/>
    </xf>
    <xf numFmtId="3" fontId="272" fillId="0" borderId="103" xfId="0" applyNumberFormat="1" applyFont="1" applyBorder="1" applyAlignment="1">
      <alignment vertical="center" wrapText="1"/>
    </xf>
    <xf numFmtId="3" fontId="272" fillId="0" borderId="104" xfId="0" applyNumberFormat="1" applyFont="1" applyBorder="1" applyAlignment="1">
      <alignment vertical="center" wrapText="1"/>
    </xf>
    <xf numFmtId="3" fontId="262" fillId="151" borderId="78" xfId="0" applyNumberFormat="1" applyFont="1" applyFill="1" applyBorder="1" applyAlignment="1">
      <alignment vertical="center" wrapText="1"/>
    </xf>
    <xf numFmtId="3" fontId="262" fillId="151" borderId="25" xfId="0" applyNumberFormat="1" applyFont="1" applyFill="1" applyBorder="1" applyAlignment="1">
      <alignment vertical="center" wrapText="1"/>
    </xf>
    <xf numFmtId="3" fontId="262" fillId="151" borderId="79" xfId="0" applyNumberFormat="1" applyFont="1" applyFill="1" applyBorder="1" applyAlignment="1">
      <alignment vertical="center" wrapText="1"/>
    </xf>
    <xf numFmtId="3" fontId="272" fillId="0" borderId="23" xfId="0" applyNumberFormat="1" applyFont="1" applyBorder="1" applyAlignment="1">
      <alignment vertical="center" wrapText="1"/>
    </xf>
    <xf numFmtId="3" fontId="272" fillId="0" borderId="21" xfId="0" applyNumberFormat="1" applyFont="1" applyBorder="1" applyAlignment="1">
      <alignment vertical="center" wrapText="1"/>
    </xf>
    <xf numFmtId="3" fontId="272" fillId="0" borderId="24" xfId="0" applyNumberFormat="1" applyFont="1" applyBorder="1" applyAlignment="1">
      <alignment vertical="center" wrapText="1"/>
    </xf>
    <xf numFmtId="3" fontId="262" fillId="151" borderId="38" xfId="0" applyNumberFormat="1" applyFont="1" applyFill="1" applyBorder="1" applyAlignment="1">
      <alignment vertical="center" wrapText="1"/>
    </xf>
    <xf numFmtId="3" fontId="45" fillId="0" borderId="23" xfId="0" applyNumberFormat="1" applyFont="1" applyBorder="1" applyAlignment="1">
      <alignment vertical="center" wrapText="1"/>
    </xf>
    <xf numFmtId="0" fontId="262" fillId="151" borderId="89" xfId="0" applyFont="1" applyFill="1" applyBorder="1" applyAlignment="1">
      <alignment horizontal="center" vertical="center" wrapText="1"/>
    </xf>
    <xf numFmtId="0" fontId="267" fillId="152" borderId="88" xfId="0" applyFont="1" applyFill="1" applyBorder="1" applyAlignment="1">
      <alignment horizontal="left" vertical="center" wrapText="1"/>
    </xf>
    <xf numFmtId="0" fontId="262" fillId="0" borderId="94" xfId="0" applyFont="1" applyBorder="1" applyAlignment="1">
      <alignment horizontal="center" vertical="center" wrapText="1"/>
    </xf>
    <xf numFmtId="0" fontId="272" fillId="0" borderId="110" xfId="0" applyFont="1" applyBorder="1" applyAlignment="1">
      <alignment vertical="center" wrapText="1"/>
    </xf>
    <xf numFmtId="3" fontId="272" fillId="41" borderId="23" xfId="0" applyNumberFormat="1" applyFont="1" applyFill="1" applyBorder="1" applyAlignment="1">
      <alignment vertical="center" wrapText="1"/>
    </xf>
    <xf numFmtId="3" fontId="272" fillId="0" borderId="22" xfId="0" applyNumberFormat="1" applyFont="1" applyBorder="1" applyAlignment="1">
      <alignment vertical="center" wrapText="1"/>
    </xf>
    <xf numFmtId="3" fontId="45" fillId="0" borderId="94" xfId="0" applyNumberFormat="1" applyFont="1" applyBorder="1" applyAlignment="1">
      <alignment vertical="center" wrapText="1"/>
    </xf>
    <xf numFmtId="3" fontId="45" fillId="0" borderId="21" xfId="0" applyNumberFormat="1" applyFont="1" applyBorder="1" applyAlignment="1">
      <alignment vertical="center" wrapText="1"/>
    </xf>
    <xf numFmtId="3" fontId="45" fillId="0" borderId="24" xfId="0" applyNumberFormat="1" applyFont="1" applyBorder="1" applyAlignment="1">
      <alignment vertical="center" wrapText="1"/>
    </xf>
    <xf numFmtId="3" fontId="272" fillId="163" borderId="17" xfId="0" applyNumberFormat="1" applyFont="1" applyFill="1" applyBorder="1" applyAlignment="1">
      <alignment vertical="center" wrapText="1"/>
    </xf>
    <xf numFmtId="3" fontId="272" fillId="163" borderId="26" xfId="0" applyNumberFormat="1" applyFont="1" applyFill="1" applyBorder="1" applyAlignment="1">
      <alignment vertical="center" wrapText="1"/>
    </xf>
    <xf numFmtId="3" fontId="272" fillId="163" borderId="18" xfId="0" applyNumberFormat="1" applyFont="1" applyFill="1" applyBorder="1" applyAlignment="1">
      <alignment vertical="center" wrapText="1"/>
    </xf>
    <xf numFmtId="3" fontId="45" fillId="0" borderId="90" xfId="0" applyNumberFormat="1" applyFont="1" applyBorder="1" applyAlignment="1">
      <alignment vertical="center" wrapText="1"/>
    </xf>
    <xf numFmtId="3" fontId="272" fillId="163" borderId="19" xfId="0" applyNumberFormat="1" applyFont="1" applyFill="1" applyBorder="1" applyAlignment="1">
      <alignment vertical="center" wrapText="1"/>
    </xf>
    <xf numFmtId="3" fontId="272" fillId="0" borderId="96" xfId="0" applyNumberFormat="1" applyFont="1" applyBorder="1" applyAlignment="1">
      <alignment vertical="center" wrapText="1"/>
    </xf>
    <xf numFmtId="3" fontId="45" fillId="0" borderId="102" xfId="0" applyNumberFormat="1" applyFont="1" applyBorder="1" applyAlignment="1">
      <alignment vertical="center" wrapText="1"/>
    </xf>
    <xf numFmtId="3" fontId="45" fillId="0" borderId="111" xfId="0" applyNumberFormat="1" applyFont="1" applyBorder="1" applyAlignment="1">
      <alignment vertical="center" wrapText="1"/>
    </xf>
    <xf numFmtId="3" fontId="45" fillId="0" borderId="22" xfId="0" applyNumberFormat="1" applyFont="1" applyBorder="1" applyAlignment="1">
      <alignment vertical="center" wrapText="1"/>
    </xf>
    <xf numFmtId="0" fontId="4" fillId="0" borderId="0" xfId="0" applyFont="1" applyAlignment="1"/>
    <xf numFmtId="0" fontId="8" fillId="0" borderId="112" xfId="0" applyFont="1" applyBorder="1" applyAlignment="1">
      <alignment horizontal="center"/>
    </xf>
    <xf numFmtId="49" fontId="6" fillId="34" borderId="99" xfId="0" applyNumberFormat="1" applyFont="1" applyFill="1" applyBorder="1" applyAlignment="1" applyProtection="1">
      <alignment horizontal="center" vertical="center" wrapText="1"/>
    </xf>
    <xf numFmtId="49" fontId="13" fillId="36" borderId="99" xfId="0" applyNumberFormat="1" applyFont="1" applyFill="1" applyBorder="1" applyAlignment="1" applyProtection="1">
      <alignment horizontal="left" vertical="center" wrapText="1" indent="1"/>
    </xf>
    <xf numFmtId="49" fontId="6" fillId="33" borderId="99" xfId="0" applyNumberFormat="1" applyFont="1" applyFill="1" applyBorder="1" applyAlignment="1" applyProtection="1">
      <alignment horizontal="center" vertical="center" wrapText="1"/>
    </xf>
    <xf numFmtId="4" fontId="11" fillId="34" borderId="99" xfId="0" applyNumberFormat="1" applyFont="1" applyFill="1" applyBorder="1" applyAlignment="1" applyProtection="1">
      <alignment horizontal="center" vertical="center"/>
    </xf>
    <xf numFmtId="4" fontId="10" fillId="34" borderId="99" xfId="0" applyNumberFormat="1" applyFont="1" applyFill="1" applyBorder="1" applyAlignment="1" applyProtection="1">
      <alignment horizontal="center" vertical="center"/>
    </xf>
    <xf numFmtId="4" fontId="11" fillId="34" borderId="79" xfId="0" applyNumberFormat="1" applyFont="1" applyFill="1" applyBorder="1" applyAlignment="1" applyProtection="1">
      <alignment horizontal="center" vertical="center"/>
    </xf>
    <xf numFmtId="4" fontId="11" fillId="34" borderId="16" xfId="0" applyNumberFormat="1" applyFont="1" applyFill="1" applyBorder="1" applyAlignment="1" applyProtection="1">
      <alignment horizontal="center" vertical="center"/>
    </xf>
    <xf numFmtId="4" fontId="11" fillId="38" borderId="16" xfId="0" applyNumberFormat="1" applyFont="1" applyFill="1" applyBorder="1" applyAlignment="1" applyProtection="1">
      <alignment horizontal="center" vertical="center"/>
      <protection locked="0"/>
    </xf>
    <xf numFmtId="166" fontId="11" fillId="34" borderId="16" xfId="0" applyNumberFormat="1" applyFont="1" applyFill="1" applyBorder="1" applyAlignment="1" applyProtection="1">
      <alignment horizontal="center" vertical="center"/>
    </xf>
    <xf numFmtId="49" fontId="11" fillId="35" borderId="16" xfId="0" applyNumberFormat="1" applyFont="1" applyFill="1" applyBorder="1" applyAlignment="1" applyProtection="1">
      <alignment horizontal="center" vertical="center"/>
    </xf>
    <xf numFmtId="4" fontId="237" fillId="34" borderId="16" xfId="0" applyNumberFormat="1" applyFont="1" applyFill="1" applyBorder="1" applyAlignment="1" applyProtection="1">
      <alignment horizontal="center" vertical="center"/>
    </xf>
    <xf numFmtId="4" fontId="237" fillId="38" borderId="16" xfId="0" applyNumberFormat="1" applyFont="1" applyFill="1" applyBorder="1" applyAlignment="1" applyProtection="1">
      <alignment horizontal="center" vertical="center"/>
      <protection locked="0"/>
    </xf>
    <xf numFmtId="4" fontId="18" fillId="38" borderId="16" xfId="0" applyNumberFormat="1" applyFont="1" applyFill="1" applyBorder="1" applyAlignment="1" applyProtection="1">
      <alignment horizontal="center" vertical="center"/>
      <protection locked="0"/>
    </xf>
    <xf numFmtId="4" fontId="11" fillId="164" borderId="16" xfId="0" applyNumberFormat="1" applyFont="1" applyFill="1" applyBorder="1" applyAlignment="1" applyProtection="1">
      <alignment horizontal="center" vertical="center"/>
      <protection locked="0"/>
    </xf>
    <xf numFmtId="4" fontId="23" fillId="34" borderId="16" xfId="0" applyNumberFormat="1" applyFont="1" applyFill="1" applyBorder="1" applyAlignment="1" applyProtection="1">
      <alignment horizontal="center" vertical="center"/>
    </xf>
    <xf numFmtId="4" fontId="10" fillId="34" borderId="16" xfId="0" applyNumberFormat="1" applyFont="1" applyFill="1" applyBorder="1" applyAlignment="1" applyProtection="1">
      <alignment horizontal="center" vertical="center"/>
    </xf>
    <xf numFmtId="4" fontId="11" fillId="35" borderId="16" xfId="0" applyNumberFormat="1" applyFont="1" applyFill="1" applyBorder="1" applyAlignment="1" applyProtection="1">
      <alignment horizontal="center" vertical="center"/>
    </xf>
    <xf numFmtId="9" fontId="11" fillId="35" borderId="16" xfId="0" applyNumberFormat="1" applyFont="1" applyFill="1" applyBorder="1" applyAlignment="1" applyProtection="1">
      <alignment horizontal="center" vertical="center"/>
    </xf>
    <xf numFmtId="4" fontId="11" fillId="35" borderId="16" xfId="0" applyNumberFormat="1" applyFont="1" applyFill="1" applyBorder="1" applyAlignment="1" applyProtection="1">
      <alignment horizontal="center" vertical="top"/>
    </xf>
    <xf numFmtId="49" fontId="11" fillId="35" borderId="16" xfId="0" applyNumberFormat="1" applyFont="1" applyFill="1" applyBorder="1" applyAlignment="1" applyProtection="1">
      <alignment horizontal="center" vertical="center" wrapText="1"/>
    </xf>
    <xf numFmtId="4" fontId="11" fillId="34" borderId="16" xfId="0" quotePrefix="1" applyNumberFormat="1" applyFont="1" applyFill="1" applyBorder="1" applyAlignment="1" applyProtection="1">
      <alignment horizontal="center" vertical="center"/>
    </xf>
    <xf numFmtId="4" fontId="25" fillId="34" borderId="16" xfId="0" applyNumberFormat="1" applyFont="1" applyFill="1" applyBorder="1" applyAlignment="1" applyProtection="1">
      <alignment horizontal="center" vertical="center"/>
    </xf>
    <xf numFmtId="4" fontId="22" fillId="34" borderId="16" xfId="0" quotePrefix="1" applyNumberFormat="1" applyFont="1" applyFill="1" applyBorder="1" applyAlignment="1" applyProtection="1">
      <alignment horizontal="center" vertical="center"/>
    </xf>
    <xf numFmtId="4" fontId="11" fillId="38" borderId="24" xfId="0" applyNumberFormat="1" applyFont="1" applyFill="1" applyBorder="1" applyAlignment="1" applyProtection="1">
      <alignment horizontal="center" vertical="center"/>
      <protection locked="0"/>
    </xf>
    <xf numFmtId="0" fontId="295" fillId="0" borderId="15" xfId="0" applyFont="1" applyBorder="1"/>
    <xf numFmtId="0" fontId="295" fillId="0" borderId="0" xfId="0" applyFont="1"/>
    <xf numFmtId="0" fontId="29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10" fillId="38" borderId="15" xfId="0" applyNumberFormat="1" applyFont="1" applyFill="1" applyBorder="1" applyAlignment="1" applyProtection="1">
      <alignment horizontal="center" vertical="center"/>
      <protection locked="0"/>
    </xf>
    <xf numFmtId="0" fontId="0" fillId="162" borderId="0" xfId="0" applyFill="1" applyAlignment="1">
      <alignment horizontal="center"/>
    </xf>
    <xf numFmtId="0" fontId="297" fillId="0" borderId="28" xfId="0" applyFont="1" applyBorder="1" applyAlignment="1">
      <alignment wrapText="1"/>
    </xf>
    <xf numFmtId="4" fontId="11" fillId="165" borderId="16" xfId="0" applyNumberFormat="1" applyFont="1" applyFill="1" applyBorder="1" applyAlignment="1" applyProtection="1">
      <alignment horizontal="center" vertical="center"/>
      <protection locked="0"/>
    </xf>
    <xf numFmtId="0" fontId="0" fillId="54" borderId="0" xfId="0" applyFill="1"/>
    <xf numFmtId="4" fontId="0" fillId="54" borderId="0" xfId="0" applyNumberFormat="1" applyFill="1"/>
    <xf numFmtId="4" fontId="22" fillId="34" borderId="98" xfId="0" applyNumberFormat="1" applyFont="1" applyFill="1" applyBorder="1" applyAlignment="1" applyProtection="1">
      <alignment horizontal="center" vertical="center" wrapText="1"/>
    </xf>
    <xf numFmtId="4" fontId="32" fillId="36" borderId="30" xfId="0" applyNumberFormat="1" applyFont="1" applyFill="1" applyBorder="1" applyAlignment="1" applyProtection="1">
      <alignment horizontal="center" vertical="center" wrapText="1"/>
    </xf>
    <xf numFmtId="4" fontId="0" fillId="141" borderId="20" xfId="0" applyNumberForma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 applyProtection="1">
      <alignment horizontal="center" vertical="center" wrapText="1"/>
    </xf>
    <xf numFmtId="4" fontId="32" fillId="36" borderId="20" xfId="0" applyNumberFormat="1" applyFont="1" applyFill="1" applyBorder="1" applyAlignment="1" applyProtection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102" xfId="0" applyNumberFormat="1" applyFill="1" applyBorder="1" applyAlignment="1">
      <alignment horizontal="center" vertical="center" wrapText="1"/>
    </xf>
    <xf numFmtId="4" fontId="11" fillId="34" borderId="20" xfId="0" applyNumberFormat="1" applyFont="1" applyFill="1" applyBorder="1" applyAlignment="1" applyProtection="1">
      <alignment horizontal="center" vertical="center" wrapText="1"/>
    </xf>
    <xf numFmtId="4" fontId="232" fillId="141" borderId="20" xfId="0" applyNumberFormat="1" applyFont="1" applyFill="1" applyBorder="1" applyAlignment="1">
      <alignment horizontal="center" vertical="center" wrapText="1"/>
    </xf>
    <xf numFmtId="4" fontId="22" fillId="34" borderId="30" xfId="0" applyNumberFormat="1" applyFont="1" applyFill="1" applyBorder="1" applyAlignment="1" applyProtection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11" fillId="34" borderId="30" xfId="0" applyNumberFormat="1" applyFont="1" applyFill="1" applyBorder="1" applyAlignment="1" applyProtection="1">
      <alignment horizontal="center" vertical="center" wrapText="1"/>
    </xf>
    <xf numFmtId="4" fontId="0" fillId="141" borderId="15" xfId="0" applyNumberForma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4" fontId="0" fillId="141" borderId="62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232" fillId="141" borderId="62" xfId="0" applyNumberFormat="1" applyFont="1" applyFill="1" applyBorder="1" applyAlignment="1">
      <alignment horizontal="center" vertical="center" wrapText="1"/>
    </xf>
    <xf numFmtId="4" fontId="22" fillId="34" borderId="99" xfId="0" applyNumberFormat="1" applyFont="1" applyFill="1" applyBorder="1" applyAlignment="1" applyProtection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11" fillId="166" borderId="15" xfId="0" applyNumberFormat="1" applyFont="1" applyFill="1" applyBorder="1" applyAlignment="1" applyProtection="1">
      <alignment horizontal="center" vertical="center" wrapText="1"/>
    </xf>
    <xf numFmtId="4" fontId="22" fillId="166" borderId="15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/>
    <xf numFmtId="4" fontId="295" fillId="0" borderId="15" xfId="0" applyNumberFormat="1" applyFont="1" applyBorder="1"/>
    <xf numFmtId="10" fontId="295" fillId="0" borderId="15" xfId="0" applyNumberFormat="1" applyFont="1" applyBorder="1"/>
    <xf numFmtId="167" fontId="0" fillId="0" borderId="0" xfId="0" applyNumberFormat="1"/>
    <xf numFmtId="4" fontId="11" fillId="38" borderId="102" xfId="0" applyNumberFormat="1" applyFont="1" applyFill="1" applyBorder="1" applyAlignment="1" applyProtection="1">
      <alignment horizontal="center" vertical="center"/>
      <protection locked="0"/>
    </xf>
    <xf numFmtId="4" fontId="11" fillId="34" borderId="102" xfId="0" applyNumberFormat="1" applyFont="1" applyFill="1" applyBorder="1" applyAlignment="1" applyProtection="1">
      <alignment horizontal="center" vertical="center" wrapText="1"/>
    </xf>
    <xf numFmtId="4" fontId="0" fillId="141" borderId="91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32" fillId="36" borderId="102" xfId="0" applyNumberFormat="1" applyFont="1" applyFill="1" applyBorder="1" applyAlignment="1" applyProtection="1">
      <alignment horizontal="center" vertical="center" wrapText="1"/>
    </xf>
    <xf numFmtId="4" fontId="32" fillId="36" borderId="91" xfId="0" applyNumberFormat="1" applyFont="1" applyFill="1" applyBorder="1" applyAlignment="1" applyProtection="1">
      <alignment horizontal="center" vertical="center" wrapText="1"/>
    </xf>
    <xf numFmtId="4" fontId="0" fillId="0" borderId="91" xfId="0" applyNumberFormat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left" vertical="center" wrapText="1" indent="4"/>
    </xf>
    <xf numFmtId="2" fontId="232" fillId="0" borderId="26" xfId="0" applyNumberFormat="1" applyFont="1" applyFill="1" applyBorder="1" applyAlignment="1">
      <alignment vertical="center" wrapText="1"/>
    </xf>
    <xf numFmtId="2" fontId="232" fillId="0" borderId="52" xfId="0" applyNumberFormat="1" applyFont="1" applyFill="1" applyBorder="1" applyAlignment="1">
      <alignment vertical="center" wrapText="1"/>
    </xf>
    <xf numFmtId="4" fontId="11" fillId="38" borderId="19" xfId="0" applyNumberFormat="1" applyFont="1" applyFill="1" applyBorder="1" applyAlignment="1" applyProtection="1">
      <alignment horizontal="center" vertical="center"/>
      <protection locked="0"/>
    </xf>
    <xf numFmtId="4" fontId="232" fillId="140" borderId="26" xfId="0" applyNumberFormat="1" applyFont="1" applyFill="1" applyBorder="1" applyAlignment="1">
      <alignment horizontal="center" vertical="center" wrapText="1"/>
    </xf>
    <xf numFmtId="4" fontId="232" fillId="141" borderId="18" xfId="0" applyNumberFormat="1" applyFont="1" applyFill="1" applyBorder="1" applyAlignment="1">
      <alignment horizontal="center" vertical="center" wrapText="1"/>
    </xf>
    <xf numFmtId="4" fontId="232" fillId="141" borderId="52" xfId="0" applyNumberFormat="1" applyFont="1" applyFill="1" applyBorder="1" applyAlignment="1">
      <alignment horizontal="center" vertical="center" wrapText="1"/>
    </xf>
    <xf numFmtId="4" fontId="232" fillId="141" borderId="19" xfId="0" applyNumberFormat="1" applyFont="1" applyFill="1" applyBorder="1" applyAlignment="1">
      <alignment horizontal="center" vertical="center" wrapText="1"/>
    </xf>
    <xf numFmtId="4" fontId="11" fillId="38" borderId="17" xfId="0" applyNumberFormat="1" applyFont="1" applyFill="1" applyBorder="1" applyAlignment="1" applyProtection="1">
      <alignment horizontal="center" vertical="center"/>
      <protection locked="0"/>
    </xf>
    <xf numFmtId="2" fontId="31" fillId="0" borderId="84" xfId="0" applyNumberFormat="1" applyFont="1" applyFill="1" applyBorder="1" applyAlignment="1">
      <alignment horizontal="center" vertical="center" wrapText="1"/>
    </xf>
    <xf numFmtId="4" fontId="7" fillId="142" borderId="86" xfId="0" applyNumberFormat="1" applyFont="1" applyFill="1" applyBorder="1" applyAlignment="1" applyProtection="1">
      <alignment horizontal="left" vertical="center" wrapText="1"/>
    </xf>
    <xf numFmtId="0" fontId="232" fillId="0" borderId="86" xfId="0" applyFont="1" applyFill="1" applyBorder="1" applyAlignment="1">
      <alignment horizontal="center" vertical="center" wrapText="1"/>
    </xf>
    <xf numFmtId="4" fontId="22" fillId="142" borderId="86" xfId="0" applyNumberFormat="1" applyFont="1" applyFill="1" applyBorder="1" applyAlignment="1" applyProtection="1">
      <alignment horizontal="center" vertical="center" wrapText="1"/>
    </xf>
    <xf numFmtId="2" fontId="0" fillId="54" borderId="82" xfId="0" applyNumberFormat="1" applyFill="1" applyBorder="1" applyAlignment="1">
      <alignment horizontal="center"/>
    </xf>
    <xf numFmtId="4" fontId="22" fillId="142" borderId="84" xfId="0" applyNumberFormat="1" applyFont="1" applyFill="1" applyBorder="1" applyAlignment="1" applyProtection="1">
      <alignment horizontal="center" vertical="center" wrapText="1"/>
    </xf>
    <xf numFmtId="4" fontId="22" fillId="142" borderId="77" xfId="0" applyNumberFormat="1" applyFont="1" applyFill="1" applyBorder="1" applyAlignment="1" applyProtection="1">
      <alignment horizontal="center" vertical="center" wrapText="1"/>
    </xf>
    <xf numFmtId="4" fontId="22" fillId="142" borderId="101" xfId="0" applyNumberFormat="1" applyFont="1" applyFill="1" applyBorder="1" applyAlignment="1" applyProtection="1">
      <alignment horizontal="center" vertical="center" wrapText="1"/>
    </xf>
    <xf numFmtId="4" fontId="22" fillId="142" borderId="61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4" fontId="295" fillId="0" borderId="25" xfId="0" applyNumberFormat="1" applyFont="1" applyBorder="1"/>
    <xf numFmtId="10" fontId="295" fillId="0" borderId="25" xfId="0" applyNumberFormat="1" applyFont="1" applyBorder="1" applyAlignment="1">
      <alignment horizontal="right"/>
    </xf>
    <xf numFmtId="10" fontId="0" fillId="0" borderId="15" xfId="0" applyNumberFormat="1" applyBorder="1"/>
    <xf numFmtId="10" fontId="0" fillId="0" borderId="15" xfId="0" applyNumberFormat="1" applyBorder="1" applyAlignment="1">
      <alignment horizontal="right"/>
    </xf>
    <xf numFmtId="4" fontId="0" fillId="156" borderId="15" xfId="0" applyNumberFormat="1" applyFill="1" applyBorder="1" applyAlignment="1">
      <alignment horizontal="center" vertical="center" wrapText="1"/>
    </xf>
    <xf numFmtId="0" fontId="31" fillId="0" borderId="114" xfId="0" applyFont="1" applyFill="1" applyBorder="1" applyAlignment="1">
      <alignment horizontal="center" vertical="center" wrapText="1"/>
    </xf>
    <xf numFmtId="0" fontId="232" fillId="0" borderId="17" xfId="0" applyFont="1" applyBorder="1" applyAlignment="1">
      <alignment horizontal="center" vertical="center" wrapText="1"/>
    </xf>
    <xf numFmtId="0" fontId="232" fillId="0" borderId="52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14" fillId="34" borderId="25" xfId="0" applyNumberFormat="1" applyFont="1" applyFill="1" applyBorder="1" applyAlignment="1" applyProtection="1">
      <alignment horizontal="left" vertical="center" wrapText="1"/>
    </xf>
    <xf numFmtId="4" fontId="22" fillId="34" borderId="78" xfId="0" applyNumberFormat="1" applyFont="1" applyFill="1" applyBorder="1" applyAlignment="1" applyProtection="1">
      <alignment horizontal="center" vertical="center" wrapText="1"/>
    </xf>
    <xf numFmtId="4" fontId="22" fillId="34" borderId="25" xfId="0" applyNumberFormat="1" applyFont="1" applyFill="1" applyBorder="1" applyAlignment="1" applyProtection="1">
      <alignment horizontal="center" vertical="center" wrapText="1"/>
    </xf>
    <xf numFmtId="4" fontId="22" fillId="34" borderId="79" xfId="0" applyNumberFormat="1" applyFont="1" applyFill="1" applyBorder="1" applyAlignment="1" applyProtection="1">
      <alignment horizontal="center" vertical="center" wrapText="1"/>
    </xf>
    <xf numFmtId="4" fontId="22" fillId="34" borderId="115" xfId="0" applyNumberFormat="1" applyFont="1" applyFill="1" applyBorder="1" applyAlignment="1" applyProtection="1">
      <alignment horizontal="center" vertical="center" wrapText="1"/>
    </xf>
    <xf numFmtId="4" fontId="22" fillId="34" borderId="38" xfId="0" applyNumberFormat="1" applyFont="1" applyFill="1" applyBorder="1" applyAlignment="1" applyProtection="1">
      <alignment horizontal="center" vertical="center" wrapText="1"/>
    </xf>
    <xf numFmtId="4" fontId="22" fillId="34" borderId="95" xfId="0" applyNumberFormat="1" applyFont="1" applyFill="1" applyBorder="1" applyAlignment="1" applyProtection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4" fontId="22" fillId="34" borderId="28" xfId="0" applyNumberFormat="1" applyFont="1" applyFill="1" applyBorder="1" applyAlignment="1" applyProtection="1">
      <alignment horizontal="center" vertical="center" wrapText="1"/>
    </xf>
    <xf numFmtId="4" fontId="0" fillId="141" borderId="29" xfId="0" applyNumberFormat="1" applyFill="1" applyBorder="1" applyAlignment="1">
      <alignment horizontal="center" vertical="center" wrapText="1"/>
    </xf>
    <xf numFmtId="4" fontId="0" fillId="156" borderId="20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11" fillId="38" borderId="29" xfId="0" applyNumberFormat="1" applyFont="1" applyFill="1" applyBorder="1" applyAlignment="1" applyProtection="1">
      <alignment horizontal="center" vertical="center"/>
      <protection locked="0"/>
    </xf>
    <xf numFmtId="4" fontId="0" fillId="0" borderId="29" xfId="0" applyNumberFormat="1" applyBorder="1" applyAlignment="1">
      <alignment horizontal="center" vertical="center" wrapText="1"/>
    </xf>
    <xf numFmtId="4" fontId="32" fillId="36" borderId="29" xfId="0" applyNumberFormat="1" applyFont="1" applyFill="1" applyBorder="1" applyAlignment="1" applyProtection="1">
      <alignment horizontal="center" vertical="center" wrapText="1"/>
    </xf>
    <xf numFmtId="4" fontId="11" fillId="34" borderId="29" xfId="0" applyNumberFormat="1" applyFont="1" applyFill="1" applyBorder="1" applyAlignment="1" applyProtection="1">
      <alignment horizontal="center" vertical="center" wrapText="1"/>
    </xf>
    <xf numFmtId="4" fontId="22" fillId="34" borderId="100" xfId="0" applyNumberFormat="1" applyFont="1" applyFill="1" applyBorder="1" applyAlignment="1" applyProtection="1">
      <alignment horizontal="center" vertical="center" wrapText="1"/>
    </xf>
    <xf numFmtId="4" fontId="0" fillId="0" borderId="91" xfId="0" applyNumberFormat="1" applyFill="1" applyBorder="1" applyAlignment="1">
      <alignment horizontal="center" vertical="center" wrapText="1"/>
    </xf>
    <xf numFmtId="4" fontId="11" fillId="38" borderId="23" xfId="0" applyNumberFormat="1" applyFont="1" applyFill="1" applyBorder="1" applyAlignment="1" applyProtection="1">
      <alignment horizontal="center" vertical="center"/>
      <protection locked="0"/>
    </xf>
    <xf numFmtId="4" fontId="232" fillId="140" borderId="21" xfId="0" applyNumberFormat="1" applyFont="1" applyFill="1" applyBorder="1" applyAlignment="1">
      <alignment horizontal="center" vertical="center" wrapText="1"/>
    </xf>
    <xf numFmtId="4" fontId="232" fillId="141" borderId="2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0" fillId="162" borderId="0" xfId="0" applyFill="1"/>
    <xf numFmtId="49" fontId="6" fillId="48" borderId="15" xfId="0" applyNumberFormat="1" applyFont="1" applyFill="1" applyBorder="1" applyAlignment="1" applyProtection="1">
      <alignment horizontal="left" vertical="center" wrapText="1" indent="5"/>
    </xf>
    <xf numFmtId="4" fontId="11" fillId="48" borderId="15" xfId="0" applyNumberFormat="1" applyFont="1" applyFill="1" applyBorder="1" applyAlignment="1" applyProtection="1">
      <alignment horizontal="center" vertical="center" wrapText="1"/>
    </xf>
    <xf numFmtId="4" fontId="11" fillId="34" borderId="15" xfId="0" applyNumberFormat="1" applyFont="1" applyFill="1" applyBorder="1" applyAlignment="1" applyProtection="1">
      <alignment horizontal="left" vertical="center" wrapText="1"/>
    </xf>
    <xf numFmtId="4" fontId="284" fillId="38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48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>
      <alignment horizontal="center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NumberFormat="1" applyFont="1" applyFill="1" applyBorder="1" applyAlignment="1" applyProtection="1">
      <alignment horizontal="center" vertical="center" wrapText="1"/>
    </xf>
    <xf numFmtId="0" fontId="31" fillId="0" borderId="100" xfId="0" applyNumberFormat="1" applyFont="1" applyFill="1" applyBorder="1" applyAlignment="1" applyProtection="1">
      <alignment horizontal="center" vertical="center" wrapText="1"/>
    </xf>
    <xf numFmtId="4" fontId="11" fillId="34" borderId="78" xfId="0" applyNumberFormat="1" applyFont="1" applyFill="1" applyBorder="1" applyAlignment="1" applyProtection="1">
      <alignment horizontal="center" vertical="center"/>
    </xf>
    <xf numFmtId="4" fontId="11" fillId="34" borderId="62" xfId="0" applyNumberFormat="1" applyFont="1" applyFill="1" applyBorder="1" applyAlignment="1" applyProtection="1">
      <alignment horizontal="center" vertical="center"/>
    </xf>
    <xf numFmtId="166" fontId="11" fillId="34" borderId="102" xfId="0" applyNumberFormat="1" applyFont="1" applyFill="1" applyBorder="1" applyAlignment="1" applyProtection="1">
      <alignment horizontal="center" vertical="center"/>
    </xf>
    <xf numFmtId="49" fontId="11" fillId="35" borderId="62" xfId="0" applyNumberFormat="1" applyFont="1" applyFill="1" applyBorder="1" applyAlignment="1" applyProtection="1">
      <alignment horizontal="center" vertical="center"/>
    </xf>
    <xf numFmtId="4" fontId="237" fillId="34" borderId="62" xfId="0" applyNumberFormat="1" applyFont="1" applyFill="1" applyBorder="1" applyAlignment="1" applyProtection="1">
      <alignment horizontal="center" vertical="center"/>
    </xf>
    <xf numFmtId="4" fontId="237" fillId="38" borderId="62" xfId="0" applyNumberFormat="1" applyFont="1" applyFill="1" applyBorder="1" applyAlignment="1" applyProtection="1">
      <alignment horizontal="center" vertical="center"/>
      <protection locked="0"/>
    </xf>
    <xf numFmtId="4" fontId="18" fillId="38" borderId="62" xfId="0" applyNumberFormat="1" applyFont="1" applyFill="1" applyBorder="1" applyAlignment="1" applyProtection="1">
      <alignment horizontal="center" vertical="center"/>
      <protection locked="0"/>
    </xf>
    <xf numFmtId="4" fontId="23" fillId="34" borderId="62" xfId="0" applyNumberFormat="1" applyFont="1" applyFill="1" applyBorder="1" applyAlignment="1" applyProtection="1">
      <alignment horizontal="center" vertical="center"/>
    </xf>
    <xf numFmtId="4" fontId="10" fillId="34" borderId="62" xfId="0" applyNumberFormat="1" applyFont="1" applyFill="1" applyBorder="1" applyAlignment="1" applyProtection="1">
      <alignment horizontal="center" vertical="center"/>
    </xf>
    <xf numFmtId="4" fontId="11" fillId="35" borderId="62" xfId="0" applyNumberFormat="1" applyFont="1" applyFill="1" applyBorder="1" applyAlignment="1" applyProtection="1">
      <alignment horizontal="center" vertical="center"/>
    </xf>
    <xf numFmtId="9" fontId="11" fillId="35" borderId="62" xfId="0" applyNumberFormat="1" applyFont="1" applyFill="1" applyBorder="1" applyAlignment="1" applyProtection="1">
      <alignment horizontal="center" vertical="center"/>
    </xf>
    <xf numFmtId="4" fontId="11" fillId="35" borderId="62" xfId="0" applyNumberFormat="1" applyFont="1" applyFill="1" applyBorder="1" applyAlignment="1" applyProtection="1">
      <alignment horizontal="center" vertical="top"/>
    </xf>
    <xf numFmtId="49" fontId="11" fillId="35" borderId="62" xfId="0" applyNumberFormat="1" applyFont="1" applyFill="1" applyBorder="1" applyAlignment="1" applyProtection="1">
      <alignment horizontal="center" vertical="center" wrapText="1"/>
    </xf>
    <xf numFmtId="4" fontId="11" fillId="34" borderId="62" xfId="0" quotePrefix="1" applyNumberFormat="1" applyFont="1" applyFill="1" applyBorder="1" applyAlignment="1" applyProtection="1">
      <alignment horizontal="center" vertical="center"/>
    </xf>
    <xf numFmtId="4" fontId="25" fillId="34" borderId="62" xfId="0" applyNumberFormat="1" applyFont="1" applyFill="1" applyBorder="1" applyAlignment="1" applyProtection="1">
      <alignment horizontal="center" vertical="center"/>
    </xf>
    <xf numFmtId="4" fontId="22" fillId="34" borderId="62" xfId="0" quotePrefix="1" applyNumberFormat="1" applyFont="1" applyFill="1" applyBorder="1" applyAlignment="1" applyProtection="1">
      <alignment horizontal="center" vertical="center"/>
    </xf>
    <xf numFmtId="4" fontId="11" fillId="157" borderId="62" xfId="0" applyNumberFormat="1" applyFont="1" applyFill="1" applyBorder="1" applyAlignment="1" applyProtection="1">
      <alignment horizontal="center" vertical="center"/>
    </xf>
    <xf numFmtId="0" fontId="6" fillId="34" borderId="98" xfId="0" applyNumberFormat="1" applyFont="1" applyFill="1" applyBorder="1" applyAlignment="1" applyProtection="1">
      <alignment horizontal="center" vertical="center" wrapText="1"/>
    </xf>
    <xf numFmtId="0" fontId="6" fillId="34" borderId="100" xfId="0" applyNumberFormat="1" applyFont="1" applyFill="1" applyBorder="1" applyAlignment="1" applyProtection="1">
      <alignment horizontal="center" vertical="center" wrapText="1"/>
    </xf>
    <xf numFmtId="4" fontId="11" fillId="48" borderId="62" xfId="0" applyNumberFormat="1" applyFont="1" applyFill="1" applyBorder="1" applyAlignment="1" applyProtection="1">
      <alignment horizontal="center" vertical="center"/>
      <protection locked="0"/>
    </xf>
    <xf numFmtId="4" fontId="21" fillId="38" borderId="16" xfId="0" applyNumberFormat="1" applyFont="1" applyFill="1" applyBorder="1" applyAlignment="1" applyProtection="1">
      <alignment horizontal="center" vertical="center"/>
      <protection locked="0"/>
    </xf>
    <xf numFmtId="4" fontId="11" fillId="38" borderId="91" xfId="0" applyNumberFormat="1" applyFont="1" applyFill="1" applyBorder="1" applyAlignment="1" applyProtection="1">
      <alignment horizontal="center" vertical="center"/>
      <protection locked="0"/>
    </xf>
    <xf numFmtId="4" fontId="23" fillId="34" borderId="91" xfId="0" applyNumberFormat="1" applyFont="1" applyFill="1" applyBorder="1" applyAlignment="1" applyProtection="1">
      <alignment horizontal="center" vertical="center"/>
    </xf>
    <xf numFmtId="49" fontId="0" fillId="0" borderId="15" xfId="0" applyNumberFormat="1" applyFill="1" applyBorder="1" applyAlignment="1">
      <alignment horizontal="center"/>
    </xf>
    <xf numFmtId="43" fontId="0" fillId="0" borderId="0" xfId="1" applyFont="1" applyAlignment="1">
      <alignment horizontal="center"/>
    </xf>
    <xf numFmtId="24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3" fontId="295" fillId="0" borderId="0" xfId="1" applyFont="1" applyAlignment="1">
      <alignment horizontal="center"/>
    </xf>
    <xf numFmtId="4" fontId="256" fillId="0" borderId="15" xfId="0" applyNumberFormat="1" applyFont="1" applyBorder="1" applyAlignment="1">
      <alignment wrapText="1"/>
    </xf>
    <xf numFmtId="43" fontId="13" fillId="53" borderId="15" xfId="1" applyFont="1" applyFill="1" applyBorder="1" applyAlignment="1" applyProtection="1">
      <alignment vertical="center" wrapText="1"/>
    </xf>
    <xf numFmtId="0" fontId="302" fillId="0" borderId="0" xfId="0" applyFont="1" applyFill="1" applyBorder="1" applyAlignment="1">
      <alignment vertical="center" wrapText="1"/>
    </xf>
    <xf numFmtId="0" fontId="302" fillId="0" borderId="28" xfId="0" applyFont="1" applyFill="1" applyBorder="1" applyAlignment="1">
      <alignment vertical="center" wrapText="1"/>
    </xf>
    <xf numFmtId="0" fontId="305" fillId="0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" fontId="2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5" xfId="0" applyNumberFormat="1" applyFont="1" applyFill="1" applyBorder="1" applyAlignment="1" applyProtection="1">
      <alignment horizontal="right" vertical="center" wrapText="1"/>
    </xf>
    <xf numFmtId="4" fontId="11" fillId="147" borderId="15" xfId="0" applyNumberFormat="1" applyFont="1" applyFill="1" applyBorder="1" applyAlignment="1" applyProtection="1">
      <alignment horizontal="center" vertical="center" wrapText="1"/>
      <protection locked="0"/>
    </xf>
    <xf numFmtId="0" fontId="302" fillId="0" borderId="15" xfId="0" applyFont="1" applyFill="1" applyBorder="1" applyAlignment="1">
      <alignment horizontal="center" vertical="center" wrapText="1"/>
    </xf>
    <xf numFmtId="49" fontId="13" fillId="43" borderId="15" xfId="0" applyNumberFormat="1" applyFont="1" applyFill="1" applyBorder="1" applyAlignment="1" applyProtection="1">
      <alignment horizontal="left" vertical="center" wrapText="1" indent="3"/>
    </xf>
    <xf numFmtId="49" fontId="32" fillId="167" borderId="15" xfId="0" applyNumberFormat="1" applyFont="1" applyFill="1" applyBorder="1" applyAlignment="1" applyProtection="1">
      <alignment horizontal="left" vertical="center" wrapText="1"/>
    </xf>
    <xf numFmtId="49" fontId="25" fillId="36" borderId="15" xfId="0" applyNumberFormat="1" applyFont="1" applyFill="1" applyBorder="1" applyAlignment="1" applyProtection="1">
      <alignment horizontal="left" vertical="center" wrapText="1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4" fontId="232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168" borderId="0" xfId="0" applyNumberFormat="1" applyFill="1" applyAlignment="1">
      <alignment vertical="center"/>
    </xf>
    <xf numFmtId="2" fontId="13" fillId="169" borderId="15" xfId="0" applyNumberFormat="1" applyFont="1" applyFill="1" applyBorder="1" applyAlignment="1" applyProtection="1">
      <alignment horizontal="center" vertical="center" wrapText="1"/>
    </xf>
    <xf numFmtId="2" fontId="6" fillId="168" borderId="15" xfId="0" applyNumberFormat="1" applyFont="1" applyFill="1" applyBorder="1" applyAlignment="1" applyProtection="1">
      <alignment horizontal="center" vertical="center" wrapText="1"/>
    </xf>
    <xf numFmtId="2" fontId="0" fillId="168" borderId="15" xfId="0" applyNumberFormat="1" applyFill="1" applyBorder="1" applyAlignment="1">
      <alignment horizontal="center" vertical="center" wrapText="1"/>
    </xf>
    <xf numFmtId="4" fontId="13" fillId="169" borderId="15" xfId="1" applyNumberFormat="1" applyFont="1" applyFill="1" applyBorder="1" applyAlignment="1" applyProtection="1">
      <alignment horizontal="center" vertical="center" wrapText="1"/>
    </xf>
    <xf numFmtId="4" fontId="33" fillId="169" borderId="15" xfId="1" applyNumberFormat="1" applyFont="1" applyFill="1" applyBorder="1" applyAlignment="1" applyProtection="1">
      <alignment horizontal="center" vertical="center" wrapText="1"/>
    </xf>
    <xf numFmtId="4" fontId="6" fillId="169" borderId="15" xfId="1" applyNumberFormat="1" applyFont="1" applyFill="1" applyBorder="1" applyAlignment="1" applyProtection="1">
      <alignment horizontal="center" vertical="center" wrapText="1"/>
      <protection locked="0"/>
    </xf>
    <xf numFmtId="4" fontId="6" fillId="169" borderId="15" xfId="0" applyNumberFormat="1" applyFont="1" applyFill="1" applyBorder="1" applyAlignment="1" applyProtection="1">
      <alignment horizontal="center" vertical="center" wrapText="1"/>
      <protection locked="0"/>
    </xf>
    <xf numFmtId="4" fontId="30" fillId="169" borderId="15" xfId="1" applyNumberFormat="1" applyFont="1" applyFill="1" applyBorder="1" applyAlignment="1" applyProtection="1">
      <alignment horizontal="center" vertical="center" wrapText="1"/>
    </xf>
    <xf numFmtId="4" fontId="22" fillId="169" borderId="15" xfId="1" applyNumberFormat="1" applyFont="1" applyFill="1" applyBorder="1" applyAlignment="1" applyProtection="1">
      <alignment horizontal="center" vertical="center" wrapText="1"/>
    </xf>
    <xf numFmtId="4" fontId="306" fillId="169" borderId="15" xfId="1" applyNumberFormat="1" applyFont="1" applyFill="1" applyBorder="1" applyAlignment="1" applyProtection="1">
      <alignment horizontal="center" vertical="center" wrapText="1"/>
    </xf>
    <xf numFmtId="4" fontId="13" fillId="169" borderId="15" xfId="1" applyNumberFormat="1" applyFont="1" applyFill="1" applyBorder="1" applyAlignment="1" applyProtection="1">
      <alignment horizontal="center" vertical="center" wrapText="1"/>
      <protection locked="0"/>
    </xf>
    <xf numFmtId="4" fontId="33" fillId="169" borderId="15" xfId="1" applyNumberFormat="1" applyFont="1" applyFill="1" applyBorder="1" applyAlignment="1" applyProtection="1">
      <alignment horizontal="center" vertical="center" wrapText="1"/>
      <protection locked="0"/>
    </xf>
    <xf numFmtId="10" fontId="6" fillId="169" borderId="15" xfId="1" applyNumberFormat="1" applyFont="1" applyFill="1" applyBorder="1" applyAlignment="1" applyProtection="1">
      <alignment horizontal="center" vertical="center" wrapText="1"/>
      <protection locked="0"/>
    </xf>
    <xf numFmtId="4" fontId="0" fillId="168" borderId="0" xfId="0" applyNumberFormat="1" applyFill="1" applyBorder="1" applyAlignment="1">
      <alignment vertical="center"/>
    </xf>
    <xf numFmtId="2" fontId="283" fillId="168" borderId="0" xfId="0" applyNumberFormat="1" applyFont="1" applyFill="1" applyAlignment="1">
      <alignment vertical="center"/>
    </xf>
    <xf numFmtId="2" fontId="0" fillId="168" borderId="0" xfId="0" applyNumberFormat="1" applyFill="1" applyBorder="1" applyAlignment="1">
      <alignment vertical="center"/>
    </xf>
    <xf numFmtId="2" fontId="38" fillId="168" borderId="15" xfId="0" applyNumberFormat="1" applyFont="1" applyFill="1" applyBorder="1" applyAlignment="1">
      <alignment wrapText="1"/>
    </xf>
    <xf numFmtId="2" fontId="0" fillId="168" borderId="15" xfId="0" applyNumberFormat="1" applyFill="1" applyBorder="1" applyAlignment="1">
      <alignment vertical="center"/>
    </xf>
    <xf numFmtId="2" fontId="0" fillId="168" borderId="15" xfId="0" applyNumberFormat="1" applyFill="1" applyBorder="1"/>
    <xf numFmtId="10" fontId="0" fillId="168" borderId="15" xfId="3" applyNumberFormat="1" applyFont="1" applyFill="1" applyBorder="1" applyAlignment="1">
      <alignment horizontal="center"/>
    </xf>
    <xf numFmtId="2" fontId="0" fillId="168" borderId="0" xfId="0" applyNumberFormat="1" applyFill="1" applyBorder="1" applyAlignment="1">
      <alignment vertical="center" wrapText="1"/>
    </xf>
    <xf numFmtId="4" fontId="306" fillId="169" borderId="15" xfId="1" applyNumberFormat="1" applyFont="1" applyFill="1" applyBorder="1" applyAlignment="1" applyProtection="1">
      <alignment horizontal="center" vertical="center" wrapText="1"/>
      <protection locked="0"/>
    </xf>
    <xf numFmtId="4" fontId="307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0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vertical="center"/>
    </xf>
    <xf numFmtId="2" fontId="38" fillId="0" borderId="30" xfId="0" applyNumberFormat="1" applyFont="1" applyBorder="1" applyAlignment="1">
      <alignment wrapText="1"/>
    </xf>
    <xf numFmtId="2" fontId="0" fillId="0" borderId="30" xfId="0" applyNumberFormat="1" applyBorder="1"/>
    <xf numFmtId="2" fontId="0" fillId="0" borderId="30" xfId="0" applyNumberFormat="1" applyBorder="1" applyAlignment="1">
      <alignment wrapText="1"/>
    </xf>
    <xf numFmtId="2" fontId="0" fillId="54" borderId="30" xfId="0" applyNumberFormat="1" applyFill="1" applyBorder="1" applyAlignment="1">
      <alignment vertical="center"/>
    </xf>
    <xf numFmtId="2" fontId="0" fillId="168" borderId="15" xfId="0" applyNumberFormat="1" applyFill="1" applyBorder="1" applyAlignment="1">
      <alignment vertical="center" wrapText="1"/>
    </xf>
    <xf numFmtId="165" fontId="0" fillId="168" borderId="15" xfId="0" applyNumberFormat="1" applyFill="1" applyBorder="1" applyAlignment="1">
      <alignment vertical="center" wrapText="1"/>
    </xf>
    <xf numFmtId="2" fontId="5" fillId="0" borderId="15" xfId="0" applyNumberFormat="1" applyFont="1" applyBorder="1" applyAlignment="1">
      <alignment vertical="center"/>
    </xf>
    <xf numFmtId="2" fontId="309" fillId="0" borderId="0" xfId="1" applyNumberFormat="1" applyFont="1" applyAlignment="1">
      <alignment vertical="center"/>
    </xf>
    <xf numFmtId="2" fontId="310" fillId="0" borderId="0" xfId="0" applyNumberFormat="1" applyFont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0" fontId="31" fillId="168" borderId="0" xfId="0" applyFont="1" applyFill="1" applyAlignment="1">
      <alignment horizontal="center" vertical="center"/>
    </xf>
    <xf numFmtId="0" fontId="31" fillId="168" borderId="0" xfId="0" applyFont="1" applyFill="1" applyAlignment="1">
      <alignment vertical="center"/>
    </xf>
    <xf numFmtId="0" fontId="0" fillId="168" borderId="0" xfId="0" applyFill="1" applyAlignment="1">
      <alignment vertical="center"/>
    </xf>
    <xf numFmtId="2" fontId="5" fillId="168" borderId="15" xfId="0" applyNumberFormat="1" applyFont="1" applyFill="1" applyBorder="1" applyAlignment="1">
      <alignment horizontal="center" vertical="center"/>
    </xf>
    <xf numFmtId="4" fontId="13" fillId="169" borderId="15" xfId="0" applyNumberFormat="1" applyFont="1" applyFill="1" applyBorder="1" applyAlignment="1" applyProtection="1">
      <alignment horizontal="center" vertical="center" wrapText="1"/>
    </xf>
    <xf numFmtId="4" fontId="33" fillId="169" borderId="15" xfId="0" applyNumberFormat="1" applyFont="1" applyFill="1" applyBorder="1" applyAlignment="1" applyProtection="1">
      <alignment horizontal="center" vertical="center" wrapText="1"/>
    </xf>
    <xf numFmtId="4" fontId="308" fillId="169" borderId="15" xfId="0" applyNumberFormat="1" applyFont="1" applyFill="1" applyBorder="1" applyAlignment="1" applyProtection="1">
      <alignment horizontal="center" vertical="center" wrapText="1"/>
    </xf>
    <xf numFmtId="2" fontId="0" fillId="168" borderId="0" xfId="0" applyNumberFormat="1" applyFill="1" applyAlignment="1">
      <alignment horizontal="center" vertical="center"/>
    </xf>
    <xf numFmtId="0" fontId="0" fillId="168" borderId="15" xfId="0" applyFill="1" applyBorder="1" applyAlignment="1">
      <alignment vertical="center"/>
    </xf>
    <xf numFmtId="4" fontId="22" fillId="169" borderId="15" xfId="0" applyNumberFormat="1" applyFont="1" applyFill="1" applyBorder="1" applyAlignment="1" applyProtection="1">
      <alignment horizontal="center" vertical="center" wrapText="1"/>
    </xf>
    <xf numFmtId="10" fontId="6" fillId="169" borderId="15" xfId="0" applyNumberFormat="1" applyFont="1" applyFill="1" applyBorder="1" applyAlignment="1" applyProtection="1">
      <alignment horizontal="center" vertical="center" wrapText="1"/>
      <protection locked="0"/>
    </xf>
    <xf numFmtId="4" fontId="33" fillId="169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169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169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168" borderId="0" xfId="1" applyNumberFormat="1" applyFont="1" applyFill="1" applyAlignment="1">
      <alignment vertical="center"/>
    </xf>
    <xf numFmtId="4" fontId="283" fillId="168" borderId="0" xfId="1" applyNumberFormat="1" applyFont="1" applyFill="1" applyAlignment="1">
      <alignment vertical="center"/>
    </xf>
    <xf numFmtId="0" fontId="241" fillId="0" borderId="0" xfId="0" applyFont="1" applyAlignment="1">
      <alignment vertical="center"/>
    </xf>
    <xf numFmtId="0" fontId="241" fillId="0" borderId="15" xfId="0" applyFont="1" applyBorder="1" applyAlignment="1">
      <alignment vertical="center"/>
    </xf>
    <xf numFmtId="4" fontId="241" fillId="0" borderId="15" xfId="0" applyNumberFormat="1" applyFont="1" applyBorder="1" applyAlignment="1">
      <alignment vertical="center"/>
    </xf>
    <xf numFmtId="0" fontId="242" fillId="0" borderId="15" xfId="0" applyFont="1" applyBorder="1" applyAlignment="1">
      <alignment vertical="center"/>
    </xf>
    <xf numFmtId="4" fontId="242" fillId="0" borderId="15" xfId="0" applyNumberFormat="1" applyFont="1" applyBorder="1" applyAlignment="1">
      <alignment vertical="center"/>
    </xf>
    <xf numFmtId="2" fontId="311" fillId="168" borderId="0" xfId="0" applyNumberFormat="1" applyFont="1" applyFill="1" applyBorder="1" applyAlignment="1">
      <alignment vertical="center"/>
    </xf>
    <xf numFmtId="4" fontId="13" fillId="165" borderId="15" xfId="1" applyNumberFormat="1" applyFont="1" applyFill="1" applyBorder="1" applyAlignment="1" applyProtection="1">
      <alignment horizontal="center" vertical="center" wrapText="1"/>
    </xf>
    <xf numFmtId="2" fontId="3" fillId="168" borderId="0" xfId="1" applyNumberFormat="1" applyFont="1" applyFill="1" applyAlignment="1">
      <alignment vertical="center"/>
    </xf>
    <xf numFmtId="4" fontId="13" fillId="165" borderId="15" xfId="0" applyNumberFormat="1" applyFont="1" applyFill="1" applyBorder="1" applyAlignment="1" applyProtection="1">
      <alignment horizontal="center" vertical="center" wrapText="1"/>
    </xf>
    <xf numFmtId="0" fontId="1" fillId="0" borderId="0" xfId="10886"/>
    <xf numFmtId="0" fontId="261" fillId="0" borderId="0" xfId="10886" applyFont="1"/>
    <xf numFmtId="0" fontId="243" fillId="0" borderId="0" xfId="10886" applyFont="1"/>
    <xf numFmtId="0" fontId="232" fillId="0" borderId="113" xfId="10886" applyFont="1" applyBorder="1" applyAlignment="1">
      <alignment horizontal="center" vertical="center"/>
    </xf>
    <xf numFmtId="0" fontId="232" fillId="0" borderId="98" xfId="10886" applyFont="1" applyBorder="1" applyAlignment="1">
      <alignment horizontal="center" vertical="center"/>
    </xf>
    <xf numFmtId="0" fontId="232" fillId="0" borderId="100" xfId="10886" applyFont="1" applyBorder="1" applyAlignment="1">
      <alignment horizontal="center" vertical="center"/>
    </xf>
    <xf numFmtId="0" fontId="232" fillId="0" borderId="87" xfId="10886" applyFont="1" applyBorder="1" applyAlignment="1">
      <alignment horizontal="center" wrapText="1"/>
    </xf>
    <xf numFmtId="0" fontId="232" fillId="0" borderId="21" xfId="10886" applyFont="1" applyBorder="1" applyAlignment="1">
      <alignment horizontal="center" vertical="center"/>
    </xf>
    <xf numFmtId="0" fontId="232" fillId="0" borderId="22" xfId="10886" applyFont="1" applyBorder="1" applyAlignment="1">
      <alignment horizontal="center" vertical="center"/>
    </xf>
    <xf numFmtId="0" fontId="232" fillId="0" borderId="23" xfId="10886" applyFont="1" applyBorder="1" applyAlignment="1">
      <alignment horizontal="center" vertical="center" wrapText="1"/>
    </xf>
    <xf numFmtId="0" fontId="232" fillId="0" borderId="22" xfId="10886" applyFont="1" applyBorder="1" applyAlignment="1">
      <alignment horizontal="center" vertical="center" wrapText="1"/>
    </xf>
    <xf numFmtId="0" fontId="232" fillId="0" borderId="24" xfId="10886" applyFont="1" applyBorder="1" applyAlignment="1">
      <alignment horizontal="center" vertical="center" wrapText="1"/>
    </xf>
    <xf numFmtId="0" fontId="1" fillId="0" borderId="90" xfId="10886" applyBorder="1"/>
    <xf numFmtId="0" fontId="232" fillId="170" borderId="96" xfId="10886" applyFont="1" applyFill="1" applyBorder="1" applyAlignment="1">
      <alignment horizontal="left" vertical="center"/>
    </xf>
    <xf numFmtId="4" fontId="232" fillId="170" borderId="98" xfId="10886" applyNumberFormat="1" applyFont="1" applyFill="1" applyBorder="1" applyAlignment="1">
      <alignment horizontal="center" vertical="center"/>
    </xf>
    <xf numFmtId="4" fontId="232" fillId="170" borderId="96" xfId="10886" applyNumberFormat="1" applyFont="1" applyFill="1" applyBorder="1" applyAlignment="1">
      <alignment horizontal="center" vertical="center"/>
    </xf>
    <xf numFmtId="4" fontId="232" fillId="170" borderId="100" xfId="10886" applyNumberFormat="1" applyFont="1" applyFill="1" applyBorder="1" applyAlignment="1">
      <alignment horizontal="center" vertical="center"/>
    </xf>
    <xf numFmtId="4" fontId="232" fillId="170" borderId="113" xfId="10886" applyNumberFormat="1" applyFont="1" applyFill="1" applyBorder="1" applyAlignment="1">
      <alignment horizontal="center" vertical="center"/>
    </xf>
    <xf numFmtId="0" fontId="232" fillId="170" borderId="98" xfId="10886" applyFont="1" applyFill="1" applyBorder="1" applyAlignment="1">
      <alignment horizontal="left" vertical="center"/>
    </xf>
    <xf numFmtId="0" fontId="232" fillId="170" borderId="100" xfId="10886" applyFont="1" applyFill="1" applyBorder="1" applyAlignment="1">
      <alignment horizontal="left" vertical="center"/>
    </xf>
    <xf numFmtId="0" fontId="1" fillId="41" borderId="22" xfId="10886" applyFont="1" applyFill="1" applyBorder="1" applyAlignment="1">
      <alignment horizontal="left" vertical="center"/>
    </xf>
    <xf numFmtId="4" fontId="1" fillId="41" borderId="23" xfId="10886" applyNumberFormat="1" applyFill="1" applyBorder="1" applyAlignment="1">
      <alignment horizontal="center" vertical="center"/>
    </xf>
    <xf numFmtId="4" fontId="1" fillId="41" borderId="22" xfId="10886" applyNumberFormat="1" applyFill="1" applyBorder="1" applyAlignment="1">
      <alignment horizontal="center" vertical="center"/>
    </xf>
    <xf numFmtId="4" fontId="1" fillId="54" borderId="24" xfId="10886" applyNumberFormat="1" applyFill="1" applyBorder="1" applyAlignment="1">
      <alignment horizontal="center" vertical="center"/>
    </xf>
    <xf numFmtId="4" fontId="1" fillId="54" borderId="111" xfId="10886" applyNumberFormat="1" applyFill="1" applyBorder="1" applyAlignment="1">
      <alignment horizontal="center" vertical="center"/>
    </xf>
    <xf numFmtId="4" fontId="1" fillId="41" borderId="24" xfId="10886" applyNumberFormat="1" applyFill="1" applyBorder="1" applyAlignment="1">
      <alignment horizontal="center" vertical="center"/>
    </xf>
    <xf numFmtId="4" fontId="232" fillId="41" borderId="24" xfId="10886" applyNumberFormat="1" applyFont="1" applyFill="1" applyBorder="1" applyAlignment="1">
      <alignment horizontal="center" vertical="center"/>
    </xf>
    <xf numFmtId="0" fontId="1" fillId="41" borderId="96" xfId="10886" applyFill="1" applyBorder="1"/>
    <xf numFmtId="4" fontId="1" fillId="41" borderId="98" xfId="10886" applyNumberFormat="1" applyFill="1" applyBorder="1" applyAlignment="1">
      <alignment horizontal="center" vertical="center"/>
    </xf>
    <xf numFmtId="4" fontId="1" fillId="41" borderId="96" xfId="10886" applyNumberFormat="1" applyFill="1" applyBorder="1" applyAlignment="1">
      <alignment horizontal="center" vertical="center"/>
    </xf>
    <xf numFmtId="4" fontId="1" fillId="41" borderId="100" xfId="10886" applyNumberFormat="1" applyFill="1" applyBorder="1" applyAlignment="1">
      <alignment horizontal="center" vertical="center"/>
    </xf>
    <xf numFmtId="4" fontId="1" fillId="41" borderId="113" xfId="10886" applyNumberFormat="1" applyFill="1" applyBorder="1" applyAlignment="1">
      <alignment horizontal="center" vertical="center"/>
    </xf>
    <xf numFmtId="0" fontId="1" fillId="0" borderId="0" xfId="10886" applyBorder="1" applyAlignment="1">
      <alignment horizontal="center" vertical="center"/>
    </xf>
    <xf numFmtId="0" fontId="1" fillId="170" borderId="20" xfId="10886" applyFill="1" applyBorder="1"/>
    <xf numFmtId="4" fontId="1" fillId="54" borderId="62" xfId="10886" applyNumberFormat="1" applyFill="1" applyBorder="1" applyAlignment="1">
      <alignment horizontal="center" vertical="center"/>
    </xf>
    <xf numFmtId="4" fontId="1" fillId="54" borderId="20" xfId="10886" applyNumberFormat="1" applyFill="1" applyBorder="1" applyAlignment="1">
      <alignment horizontal="center" vertical="center"/>
    </xf>
    <xf numFmtId="4" fontId="1" fillId="170" borderId="62" xfId="10886" applyNumberFormat="1" applyFill="1" applyBorder="1" applyAlignment="1">
      <alignment horizontal="center" vertical="center"/>
    </xf>
    <xf numFmtId="4" fontId="1" fillId="54" borderId="16" xfId="10886" applyNumberFormat="1" applyFill="1" applyBorder="1" applyAlignment="1">
      <alignment horizontal="center" vertical="center"/>
    </xf>
    <xf numFmtId="4" fontId="1" fillId="54" borderId="102" xfId="10886" applyNumberFormat="1" applyFill="1" applyBorder="1" applyAlignment="1">
      <alignment horizontal="center" vertical="center"/>
    </xf>
    <xf numFmtId="4" fontId="1" fillId="170" borderId="16" xfId="10886" applyNumberFormat="1" applyFill="1" applyBorder="1" applyAlignment="1">
      <alignment horizontal="center" vertical="center"/>
    </xf>
    <xf numFmtId="4" fontId="232" fillId="170" borderId="16" xfId="10886" applyNumberFormat="1" applyFont="1" applyFill="1" applyBorder="1" applyAlignment="1">
      <alignment horizontal="center" vertical="center"/>
    </xf>
    <xf numFmtId="0" fontId="1" fillId="170" borderId="22" xfId="10886" applyFill="1" applyBorder="1"/>
    <xf numFmtId="4" fontId="1" fillId="170" borderId="23" xfId="10886" applyNumberFormat="1" applyFill="1" applyBorder="1" applyAlignment="1">
      <alignment horizontal="center" vertical="center"/>
    </xf>
    <xf numFmtId="4" fontId="1" fillId="170" borderId="22" xfId="10886" applyNumberFormat="1" applyFill="1" applyBorder="1" applyAlignment="1">
      <alignment horizontal="center" vertical="center"/>
    </xf>
    <xf numFmtId="4" fontId="1" fillId="170" borderId="24" xfId="10886" applyNumberFormat="1" applyFill="1" applyBorder="1" applyAlignment="1">
      <alignment horizontal="center" vertical="center"/>
    </xf>
    <xf numFmtId="4" fontId="1" fillId="170" borderId="111" xfId="10886" applyNumberFormat="1" applyFill="1" applyBorder="1" applyAlignment="1">
      <alignment horizontal="center" vertical="center"/>
    </xf>
    <xf numFmtId="4" fontId="1" fillId="0" borderId="0" xfId="10886" applyNumberFormat="1"/>
    <xf numFmtId="4" fontId="1" fillId="41" borderId="14" xfId="10886" applyNumberFormat="1" applyFill="1" applyBorder="1" applyAlignment="1">
      <alignment horizontal="center" vertical="center"/>
    </xf>
    <xf numFmtId="4" fontId="1" fillId="41" borderId="57" xfId="10886" applyNumberFormat="1" applyFill="1" applyBorder="1" applyAlignment="1">
      <alignment horizontal="center" vertical="center"/>
    </xf>
    <xf numFmtId="4" fontId="1" fillId="41" borderId="107" xfId="10886" applyNumberFormat="1" applyFill="1" applyBorder="1" applyAlignment="1">
      <alignment horizontal="center" vertical="center"/>
    </xf>
    <xf numFmtId="4" fontId="1" fillId="41" borderId="74" xfId="10886" applyNumberFormat="1" applyFill="1" applyBorder="1" applyAlignment="1">
      <alignment horizontal="center" vertical="center"/>
    </xf>
    <xf numFmtId="0" fontId="232" fillId="170" borderId="86" xfId="10886" applyFont="1" applyFill="1" applyBorder="1" applyAlignment="1">
      <alignment horizontal="center" vertical="center" wrapText="1"/>
    </xf>
    <xf numFmtId="0" fontId="232" fillId="170" borderId="82" xfId="10886" applyFont="1" applyFill="1" applyBorder="1" applyAlignment="1">
      <alignment horizontal="center" vertical="center" wrapText="1"/>
    </xf>
    <xf numFmtId="4" fontId="1" fillId="170" borderId="84" xfId="10886" applyNumberFormat="1" applyFill="1" applyBorder="1" applyAlignment="1">
      <alignment horizontal="center" vertical="center"/>
    </xf>
    <xf numFmtId="4" fontId="1" fillId="170" borderId="82" xfId="10886" applyNumberFormat="1" applyFill="1" applyBorder="1" applyAlignment="1">
      <alignment horizontal="center" vertical="center"/>
    </xf>
    <xf numFmtId="4" fontId="1" fillId="170" borderId="61" xfId="10886" applyNumberFormat="1" applyFill="1" applyBorder="1" applyAlignment="1">
      <alignment horizontal="center" vertical="center"/>
    </xf>
    <xf numFmtId="4" fontId="1" fillId="170" borderId="77" xfId="10886" applyNumberFormat="1" applyFill="1" applyBorder="1" applyAlignment="1">
      <alignment horizontal="center" vertical="center"/>
    </xf>
    <xf numFmtId="4" fontId="1" fillId="141" borderId="84" xfId="10886" applyNumberFormat="1" applyFill="1" applyBorder="1" applyAlignment="1">
      <alignment horizontal="center" vertical="center"/>
    </xf>
    <xf numFmtId="4" fontId="1" fillId="141" borderId="85" xfId="10886" applyNumberFormat="1" applyFill="1" applyBorder="1" applyAlignment="1">
      <alignment horizontal="center" vertical="center"/>
    </xf>
    <xf numFmtId="0" fontId="243" fillId="41" borderId="0" xfId="10886" applyFont="1" applyFill="1"/>
    <xf numFmtId="0" fontId="1" fillId="41" borderId="0" xfId="10886" applyFill="1"/>
    <xf numFmtId="4" fontId="1" fillId="41" borderId="0" xfId="10886" applyNumberFormat="1" applyFill="1"/>
    <xf numFmtId="0" fontId="232" fillId="41" borderId="98" xfId="10886" applyFont="1" applyFill="1" applyBorder="1" applyAlignment="1">
      <alignment horizontal="center" vertical="center"/>
    </xf>
    <xf numFmtId="0" fontId="232" fillId="41" borderId="99" xfId="10886" applyFont="1" applyFill="1" applyBorder="1" applyAlignment="1">
      <alignment horizontal="center" vertical="center"/>
    </xf>
    <xf numFmtId="0" fontId="232" fillId="41" borderId="100" xfId="10886" applyFont="1" applyFill="1" applyBorder="1" applyAlignment="1">
      <alignment horizontal="center" vertical="center"/>
    </xf>
    <xf numFmtId="0" fontId="1" fillId="170" borderId="0" xfId="10886" applyFill="1"/>
    <xf numFmtId="0" fontId="232" fillId="41" borderId="20" xfId="10886" applyFont="1" applyFill="1" applyBorder="1" applyAlignment="1">
      <alignment horizontal="center" vertical="center"/>
    </xf>
    <xf numFmtId="0" fontId="232" fillId="41" borderId="62" xfId="10886" applyFont="1" applyFill="1" applyBorder="1" applyAlignment="1">
      <alignment horizontal="center" vertical="center" wrapText="1"/>
    </xf>
    <xf numFmtId="0" fontId="232" fillId="41" borderId="16" xfId="10886" applyFont="1" applyFill="1" applyBorder="1" applyAlignment="1">
      <alignment horizontal="center" vertical="center" wrapText="1"/>
    </xf>
    <xf numFmtId="0" fontId="232" fillId="0" borderId="62" xfId="10886" applyFont="1" applyBorder="1" applyAlignment="1">
      <alignment horizontal="center" vertical="center" wrapText="1"/>
    </xf>
    <xf numFmtId="0" fontId="232" fillId="0" borderId="20" xfId="10886" applyFont="1" applyBorder="1" applyAlignment="1">
      <alignment horizontal="center" vertical="center" wrapText="1"/>
    </xf>
    <xf numFmtId="0" fontId="232" fillId="0" borderId="62" xfId="10886" applyFont="1" applyBorder="1" applyAlignment="1">
      <alignment horizontal="center" vertical="center" wrapText="1"/>
    </xf>
    <xf numFmtId="0" fontId="232" fillId="141" borderId="20" xfId="10886" applyFont="1" applyFill="1" applyBorder="1" applyAlignment="1">
      <alignment horizontal="left" vertical="center"/>
    </xf>
    <xf numFmtId="4" fontId="232" fillId="141" borderId="62" xfId="10886" applyNumberFormat="1" applyFont="1" applyFill="1" applyBorder="1" applyAlignment="1">
      <alignment horizontal="center" vertical="center"/>
    </xf>
    <xf numFmtId="4" fontId="232" fillId="141" borderId="16" xfId="10886" applyNumberFormat="1" applyFont="1" applyFill="1" applyBorder="1" applyAlignment="1">
      <alignment horizontal="center" vertical="center"/>
    </xf>
    <xf numFmtId="4" fontId="232" fillId="141" borderId="29" xfId="10886" applyNumberFormat="1" applyFont="1" applyFill="1" applyBorder="1" applyAlignment="1">
      <alignment horizontal="center" vertical="center"/>
    </xf>
    <xf numFmtId="0" fontId="232" fillId="141" borderId="15" xfId="10886" applyFont="1" applyFill="1" applyBorder="1" applyAlignment="1">
      <alignment horizontal="center" vertical="center"/>
    </xf>
    <xf numFmtId="0" fontId="232" fillId="141" borderId="16" xfId="10886" applyFont="1" applyFill="1" applyBorder="1" applyAlignment="1">
      <alignment horizontal="center" vertical="center"/>
    </xf>
    <xf numFmtId="0" fontId="1" fillId="41" borderId="20" xfId="10886" applyFont="1" applyFill="1" applyBorder="1" applyAlignment="1">
      <alignment horizontal="left" vertical="center"/>
    </xf>
    <xf numFmtId="4" fontId="1" fillId="41" borderId="62" xfId="10886" applyNumberFormat="1" applyFill="1" applyBorder="1" applyAlignment="1">
      <alignment horizontal="center" vertical="center"/>
    </xf>
    <xf numFmtId="4" fontId="1" fillId="41" borderId="16" xfId="10886" applyNumberFormat="1" applyFill="1" applyBorder="1" applyAlignment="1">
      <alignment horizontal="center" vertical="center"/>
    </xf>
    <xf numFmtId="4" fontId="1" fillId="41" borderId="20" xfId="10886" applyNumberFormat="1" applyFill="1" applyBorder="1" applyAlignment="1">
      <alignment horizontal="center" vertical="center"/>
    </xf>
    <xf numFmtId="0" fontId="232" fillId="41" borderId="15" xfId="10886" applyFont="1" applyFill="1" applyBorder="1" applyAlignment="1">
      <alignment horizontal="center" vertical="center"/>
    </xf>
    <xf numFmtId="0" fontId="232" fillId="41" borderId="16" xfId="10886" applyFont="1" applyFill="1" applyBorder="1" applyAlignment="1">
      <alignment horizontal="center" vertical="center"/>
    </xf>
    <xf numFmtId="0" fontId="232" fillId="41" borderId="20" xfId="10886" applyFont="1" applyFill="1" applyBorder="1" applyAlignment="1">
      <alignment horizontal="left" vertical="center"/>
    </xf>
    <xf numFmtId="4" fontId="232" fillId="41" borderId="62" xfId="10886" applyNumberFormat="1" applyFont="1" applyFill="1" applyBorder="1" applyAlignment="1">
      <alignment horizontal="center" vertical="center"/>
    </xf>
    <xf numFmtId="4" fontId="232" fillId="41" borderId="16" xfId="10886" applyNumberFormat="1" applyFont="1" applyFill="1" applyBorder="1" applyAlignment="1">
      <alignment horizontal="center" vertical="center"/>
    </xf>
    <xf numFmtId="4" fontId="232" fillId="41" borderId="20" xfId="10886" applyNumberFormat="1" applyFont="1" applyFill="1" applyBorder="1" applyAlignment="1">
      <alignment horizontal="center" vertical="center"/>
    </xf>
    <xf numFmtId="4" fontId="1" fillId="41" borderId="15" xfId="10886" applyNumberFormat="1" applyFill="1" applyBorder="1" applyAlignment="1">
      <alignment horizontal="center" vertical="center"/>
    </xf>
    <xf numFmtId="165" fontId="1" fillId="0" borderId="0" xfId="10886" applyNumberFormat="1"/>
    <xf numFmtId="0" fontId="1" fillId="171" borderId="20" xfId="10886" applyFill="1" applyBorder="1"/>
    <xf numFmtId="4" fontId="1" fillId="171" borderId="62" xfId="10886" applyNumberFormat="1" applyFill="1" applyBorder="1" applyAlignment="1">
      <alignment horizontal="center" vertical="center"/>
    </xf>
    <xf numFmtId="0" fontId="1" fillId="171" borderId="20" xfId="10886" applyFill="1" applyBorder="1" applyAlignment="1">
      <alignment vertical="center" wrapText="1"/>
    </xf>
    <xf numFmtId="4" fontId="1" fillId="143" borderId="62" xfId="10886" applyNumberFormat="1" applyFill="1" applyBorder="1" applyAlignment="1">
      <alignment horizontal="center" vertical="center"/>
    </xf>
    <xf numFmtId="4" fontId="1" fillId="143" borderId="15" xfId="10886" applyNumberFormat="1" applyFill="1" applyBorder="1" applyAlignment="1">
      <alignment horizontal="center" vertical="center"/>
    </xf>
    <xf numFmtId="4" fontId="1" fillId="143" borderId="16" xfId="10886" applyNumberFormat="1" applyFill="1" applyBorder="1" applyAlignment="1">
      <alignment horizontal="center" vertical="center"/>
    </xf>
    <xf numFmtId="0" fontId="1" fillId="41" borderId="20" xfId="10886" applyFill="1" applyBorder="1"/>
    <xf numFmtId="0" fontId="232" fillId="41" borderId="20" xfId="10886" applyFont="1" applyFill="1" applyBorder="1"/>
    <xf numFmtId="4" fontId="232" fillId="41" borderId="15" xfId="10886" applyNumberFormat="1" applyFont="1" applyFill="1" applyBorder="1" applyAlignment="1">
      <alignment horizontal="center" vertical="center"/>
    </xf>
    <xf numFmtId="4" fontId="1" fillId="41" borderId="19" xfId="10886" applyNumberFormat="1" applyFill="1" applyBorder="1" applyAlignment="1">
      <alignment horizontal="center" vertical="center"/>
    </xf>
    <xf numFmtId="4" fontId="1" fillId="41" borderId="18" xfId="10886" applyNumberFormat="1" applyFill="1" applyBorder="1" applyAlignment="1">
      <alignment horizontal="center" vertical="center"/>
    </xf>
    <xf numFmtId="4" fontId="1" fillId="41" borderId="52" xfId="10886" applyNumberFormat="1" applyFill="1" applyBorder="1" applyAlignment="1">
      <alignment horizontal="center" vertical="center"/>
    </xf>
    <xf numFmtId="4" fontId="1" fillId="41" borderId="26" xfId="10886" applyNumberFormat="1" applyFill="1" applyBorder="1" applyAlignment="1">
      <alignment horizontal="center" vertical="center"/>
    </xf>
    <xf numFmtId="0" fontId="232" fillId="141" borderId="82" xfId="10886" applyFont="1" applyFill="1" applyBorder="1" applyAlignment="1">
      <alignment horizontal="left" vertical="center" wrapText="1"/>
    </xf>
    <xf numFmtId="0" fontId="232" fillId="141" borderId="41" xfId="10886" applyFont="1" applyFill="1" applyBorder="1" applyAlignment="1">
      <alignment horizontal="left" vertical="center" wrapText="1"/>
    </xf>
    <xf numFmtId="4" fontId="232" fillId="141" borderId="84" xfId="10886" applyNumberFormat="1" applyFont="1" applyFill="1" applyBorder="1" applyAlignment="1">
      <alignment horizontal="center" vertical="center"/>
    </xf>
    <xf numFmtId="4" fontId="232" fillId="141" borderId="85" xfId="10886" applyNumberFormat="1" applyFont="1" applyFill="1" applyBorder="1" applyAlignment="1">
      <alignment horizontal="center" vertical="center"/>
    </xf>
    <xf numFmtId="4" fontId="232" fillId="141" borderId="82" xfId="10886" applyNumberFormat="1" applyFont="1" applyFill="1" applyBorder="1" applyAlignment="1">
      <alignment horizontal="center" vertical="center"/>
    </xf>
    <xf numFmtId="4" fontId="232" fillId="141" borderId="86" xfId="10886" applyNumberFormat="1" applyFont="1" applyFill="1" applyBorder="1" applyAlignment="1">
      <alignment horizontal="center" vertical="center"/>
    </xf>
    <xf numFmtId="43" fontId="1" fillId="0" borderId="0" xfId="10886" applyNumberFormat="1"/>
    <xf numFmtId="0" fontId="232" fillId="0" borderId="90" xfId="10886" applyFont="1" applyBorder="1" applyAlignment="1">
      <alignment horizontal="center" vertical="center" wrapText="1"/>
    </xf>
    <xf numFmtId="4" fontId="232" fillId="141" borderId="90" xfId="10886" applyNumberFormat="1" applyFont="1" applyFill="1" applyBorder="1" applyAlignment="1">
      <alignment horizontal="center" vertical="center"/>
    </xf>
    <xf numFmtId="4" fontId="1" fillId="41" borderId="90" xfId="10886" applyNumberFormat="1" applyFill="1" applyBorder="1" applyAlignment="1">
      <alignment horizontal="center" vertical="center"/>
    </xf>
    <xf numFmtId="4" fontId="232" fillId="41" borderId="90" xfId="10886" applyNumberFormat="1" applyFont="1" applyFill="1" applyBorder="1" applyAlignment="1">
      <alignment horizontal="center" vertical="center"/>
    </xf>
    <xf numFmtId="4" fontId="1" fillId="41" borderId="93" xfId="10886" applyNumberFormat="1" applyFill="1" applyBorder="1" applyAlignment="1">
      <alignment horizontal="center" vertical="center"/>
    </xf>
    <xf numFmtId="4" fontId="232" fillId="141" borderId="61" xfId="10886" applyNumberFormat="1" applyFont="1" applyFill="1" applyBorder="1" applyAlignment="1">
      <alignment horizontal="center" vertical="center"/>
    </xf>
    <xf numFmtId="0" fontId="232" fillId="0" borderId="0" xfId="10886" applyFont="1" applyAlignment="1">
      <alignment horizontal="right"/>
    </xf>
    <xf numFmtId="0" fontId="232" fillId="0" borderId="23" xfId="10886" applyFont="1" applyBorder="1" applyAlignment="1">
      <alignment horizontal="center" vertical="center"/>
    </xf>
    <xf numFmtId="0" fontId="1" fillId="170" borderId="84" xfId="10886" applyFill="1" applyBorder="1" applyAlignment="1">
      <alignment horizontal="center" vertical="center"/>
    </xf>
    <xf numFmtId="0" fontId="232" fillId="41" borderId="84" xfId="10886" applyFont="1" applyFill="1" applyBorder="1" applyAlignment="1">
      <alignment horizontal="left" vertical="center"/>
    </xf>
    <xf numFmtId="0" fontId="231" fillId="0" borderId="0" xfId="10886" applyFont="1"/>
    <xf numFmtId="4" fontId="290" fillId="0" borderId="0" xfId="10886" applyNumberFormat="1" applyFont="1" applyAlignment="1">
      <alignment horizontal="center"/>
    </xf>
    <xf numFmtId="4" fontId="290" fillId="54" borderId="0" xfId="10886" applyNumberFormat="1" applyFont="1" applyFill="1" applyAlignment="1">
      <alignment horizontal="center"/>
    </xf>
    <xf numFmtId="0" fontId="36" fillId="0" borderId="0" xfId="10886" applyFont="1"/>
    <xf numFmtId="0" fontId="241" fillId="54" borderId="15" xfId="0" applyFont="1" applyFill="1" applyBorder="1" applyAlignment="1">
      <alignment vertical="center"/>
    </xf>
    <xf numFmtId="4" fontId="241" fillId="54" borderId="15" xfId="0" applyNumberFormat="1" applyFont="1" applyFill="1" applyBorder="1" applyAlignment="1">
      <alignment vertical="center"/>
    </xf>
    <xf numFmtId="0" fontId="281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2" fontId="0" fillId="41" borderId="0" xfId="0" applyNumberFormat="1" applyFill="1" applyAlignment="1">
      <alignment vertical="center"/>
    </xf>
    <xf numFmtId="2" fontId="3" fillId="41" borderId="0" xfId="0" applyNumberFormat="1" applyFont="1" applyFill="1" applyAlignment="1">
      <alignment vertical="center"/>
    </xf>
    <xf numFmtId="2" fontId="13" fillId="147" borderId="15" xfId="0" applyNumberFormat="1" applyFont="1" applyFill="1" applyBorder="1" applyAlignment="1" applyProtection="1">
      <alignment horizontal="center" vertical="center" wrapText="1"/>
    </xf>
    <xf numFmtId="4" fontId="13" fillId="172" borderId="15" xfId="1" applyNumberFormat="1" applyFont="1" applyFill="1" applyBorder="1" applyAlignment="1" applyProtection="1">
      <alignment horizontal="center" vertical="center" wrapText="1"/>
    </xf>
    <xf numFmtId="164" fontId="312" fillId="173" borderId="0" xfId="16845" applyNumberFormat="1" applyFont="1" applyFill="1" applyBorder="1" applyAlignment="1">
      <alignment vertical="center"/>
    </xf>
    <xf numFmtId="4" fontId="13" fillId="172" borderId="15" xfId="0" applyNumberFormat="1" applyFont="1" applyFill="1" applyBorder="1" applyAlignment="1" applyProtection="1">
      <alignment horizontal="center" vertical="center" wrapText="1"/>
    </xf>
    <xf numFmtId="4" fontId="30" fillId="172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43" fontId="38" fillId="0" borderId="0" xfId="0" applyNumberFormat="1" applyFont="1" applyAlignment="1">
      <alignment vertical="center" wrapText="1"/>
    </xf>
    <xf numFmtId="43" fontId="237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237" fillId="0" borderId="0" xfId="0" applyNumberFormat="1" applyFont="1" applyAlignment="1">
      <alignment vertical="center" wrapText="1"/>
    </xf>
    <xf numFmtId="0" fontId="233" fillId="174" borderId="15" xfId="0" applyFont="1" applyFill="1" applyBorder="1" applyAlignment="1">
      <alignment horizontal="center" vertical="center" wrapText="1"/>
    </xf>
    <xf numFmtId="10" fontId="237" fillId="174" borderId="15" xfId="0" applyNumberFormat="1" applyFont="1" applyFill="1" applyBorder="1" applyAlignment="1">
      <alignment horizontal="center" vertical="center" wrapText="1"/>
    </xf>
    <xf numFmtId="0" fontId="237" fillId="174" borderId="15" xfId="0" applyFont="1" applyFill="1" applyBorder="1" applyAlignment="1">
      <alignment horizontal="center" vertical="center" wrapText="1"/>
    </xf>
    <xf numFmtId="0" fontId="38" fillId="174" borderId="15" xfId="0" applyFont="1" applyFill="1" applyBorder="1" applyAlignment="1">
      <alignment horizontal="center" vertical="center" wrapText="1"/>
    </xf>
    <xf numFmtId="0" fontId="315" fillId="0" borderId="15" xfId="0" applyFont="1" applyBorder="1" applyAlignment="1">
      <alignment horizontal="left" vertical="center" wrapText="1"/>
    </xf>
    <xf numFmtId="4" fontId="315" fillId="0" borderId="15" xfId="0" applyNumberFormat="1" applyFont="1" applyBorder="1" applyAlignment="1">
      <alignment horizontal="center" vertical="center" wrapText="1"/>
    </xf>
    <xf numFmtId="2" fontId="315" fillId="0" borderId="15" xfId="0" applyNumberFormat="1" applyFont="1" applyBorder="1" applyAlignment="1">
      <alignment horizontal="center" vertical="center" wrapText="1"/>
    </xf>
    <xf numFmtId="4" fontId="237" fillId="0" borderId="15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0" fontId="237" fillId="0" borderId="15" xfId="0" applyFont="1" applyBorder="1" applyAlignment="1">
      <alignment horizontal="center" vertical="center" wrapText="1"/>
    </xf>
    <xf numFmtId="164" fontId="34" fillId="0" borderId="15" xfId="16845" applyNumberFormat="1" applyFont="1" applyBorder="1" applyAlignment="1">
      <alignment horizontal="center" vertical="center" wrapText="1"/>
    </xf>
    <xf numFmtId="43" fontId="315" fillId="0" borderId="15" xfId="1" applyFont="1" applyBorder="1" applyAlignment="1">
      <alignment horizontal="center" vertical="center" wrapText="1"/>
    </xf>
    <xf numFmtId="4" fontId="237" fillId="54" borderId="15" xfId="0" applyNumberFormat="1" applyFont="1" applyFill="1" applyBorder="1" applyAlignment="1">
      <alignment horizontal="center" vertical="center" wrapText="1"/>
    </xf>
    <xf numFmtId="10" fontId="237" fillId="0" borderId="15" xfId="3" applyNumberFormat="1" applyFont="1" applyBorder="1" applyAlignment="1">
      <alignment horizontal="center" wrapText="1"/>
    </xf>
    <xf numFmtId="4" fontId="38" fillId="0" borderId="15" xfId="0" applyNumberFormat="1" applyFont="1" applyBorder="1" applyAlignment="1">
      <alignment horizontal="center" vertical="center" wrapText="1"/>
    </xf>
    <xf numFmtId="49" fontId="20" fillId="43" borderId="15" xfId="0" applyNumberFormat="1" applyFont="1" applyFill="1" applyBorder="1" applyAlignment="1" applyProtection="1">
      <alignment horizontal="left" vertical="center" wrapText="1" indent="3"/>
    </xf>
    <xf numFmtId="2" fontId="0" fillId="0" borderId="0" xfId="0" applyNumberFormat="1" applyAlignment="1">
      <alignment horizontal="right" vertical="center"/>
    </xf>
    <xf numFmtId="165" fontId="0" fillId="0" borderId="15" xfId="0" applyNumberFormat="1" applyBorder="1" applyAlignment="1">
      <alignment vertical="center"/>
    </xf>
    <xf numFmtId="164" fontId="0" fillId="0" borderId="15" xfId="16845" applyNumberFormat="1" applyFont="1" applyBorder="1" applyAlignment="1">
      <alignment vertical="center"/>
    </xf>
    <xf numFmtId="2" fontId="36" fillId="0" borderId="15" xfId="0" applyNumberFormat="1" applyFont="1" applyBorder="1" applyAlignment="1">
      <alignment horizontal="right" vertical="center"/>
    </xf>
    <xf numFmtId="4" fontId="33" fillId="172" borderId="15" xfId="0" applyNumberFormat="1" applyFont="1" applyFill="1" applyBorder="1" applyAlignment="1" applyProtection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6" fillId="131" borderId="48" xfId="0" applyFont="1" applyFill="1" applyBorder="1" applyAlignment="1" applyProtection="1">
      <alignment horizontal="center" vertical="center" wrapText="1"/>
    </xf>
    <xf numFmtId="0" fontId="6" fillId="43" borderId="118" xfId="0" applyNumberFormat="1" applyFont="1" applyFill="1" applyBorder="1" applyAlignment="1" applyProtection="1">
      <alignment horizontal="center" vertical="center" wrapText="1"/>
    </xf>
    <xf numFmtId="0" fontId="6" fillId="43" borderId="119" xfId="0" applyNumberFormat="1" applyFont="1" applyFill="1" applyBorder="1" applyAlignment="1" applyProtection="1">
      <alignment horizontal="center" vertical="center" wrapText="1"/>
    </xf>
    <xf numFmtId="0" fontId="316" fillId="55" borderId="0" xfId="0" applyFont="1" applyFill="1" applyBorder="1" applyAlignment="1" applyProtection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316" fillId="0" borderId="0" xfId="0" applyNumberFormat="1" applyFont="1" applyFill="1" applyBorder="1" applyAlignment="1" applyProtection="1">
      <alignment horizontal="center" vertical="center" wrapText="1"/>
    </xf>
    <xf numFmtId="0" fontId="317" fillId="0" borderId="0" xfId="0" applyFont="1" applyAlignment="1" applyProtection="1">
      <alignment vertical="center" wrapText="1"/>
    </xf>
    <xf numFmtId="0" fontId="317" fillId="43" borderId="0" xfId="0" applyFont="1" applyFill="1" applyBorder="1" applyAlignment="1" applyProtection="1">
      <alignment vertical="center" wrapText="1"/>
    </xf>
    <xf numFmtId="0" fontId="318" fillId="0" borderId="0" xfId="0" applyFont="1" applyAlignment="1">
      <alignment horizontal="center" vertical="center"/>
    </xf>
    <xf numFmtId="0" fontId="316" fillId="0" borderId="0" xfId="0" applyFont="1" applyFill="1" applyBorder="1" applyAlignment="1" applyProtection="1">
      <alignment vertical="center" wrapText="1"/>
    </xf>
    <xf numFmtId="0" fontId="319" fillId="0" borderId="0" xfId="0" applyNumberFormat="1" applyFont="1" applyFill="1" applyBorder="1" applyAlignment="1" applyProtection="1">
      <alignment horizontal="left" vertical="center" wrapText="1" indent="4"/>
    </xf>
    <xf numFmtId="0" fontId="316" fillId="0" borderId="0" xfId="0" applyFont="1" applyFill="1" applyBorder="1" applyAlignment="1" applyProtection="1">
      <alignment horizontal="right" vertical="center" wrapText="1"/>
    </xf>
    <xf numFmtId="0" fontId="6" fillId="43" borderId="0" xfId="0" applyFont="1" applyFill="1" applyBorder="1" applyAlignment="1" applyProtection="1">
      <alignment horizontal="center" vertical="center" wrapText="1"/>
    </xf>
    <xf numFmtId="0" fontId="11" fillId="43" borderId="0" xfId="0" applyFont="1" applyFill="1" applyBorder="1" applyAlignment="1" applyProtection="1">
      <alignment horizontal="right" vertical="center" wrapText="1" indent="1"/>
    </xf>
    <xf numFmtId="0" fontId="318" fillId="55" borderId="122" xfId="0" applyFont="1" applyFill="1" applyBorder="1" applyAlignment="1" applyProtection="1">
      <alignment horizontal="center" vertical="center"/>
    </xf>
    <xf numFmtId="0" fontId="318" fillId="55" borderId="0" xfId="0" applyFont="1" applyFill="1" applyBorder="1" applyAlignment="1" applyProtection="1">
      <alignment horizontal="center" vertical="center"/>
    </xf>
    <xf numFmtId="49" fontId="6" fillId="43" borderId="119" xfId="0" applyNumberFormat="1" applyFont="1" applyFill="1" applyBorder="1" applyAlignment="1">
      <alignment horizontal="center" vertical="center"/>
    </xf>
    <xf numFmtId="49" fontId="6" fillId="43" borderId="119" xfId="0" applyNumberFormat="1" applyFont="1" applyFill="1" applyBorder="1" applyAlignment="1" applyProtection="1">
      <alignment horizontal="left" vertical="center" wrapText="1"/>
    </xf>
    <xf numFmtId="0" fontId="321" fillId="43" borderId="116" xfId="0" applyFont="1" applyFill="1" applyBorder="1" applyAlignment="1" applyProtection="1">
      <alignment vertical="center" textRotation="90" wrapText="1"/>
    </xf>
    <xf numFmtId="0" fontId="321" fillId="43" borderId="48" xfId="0" applyFont="1" applyFill="1" applyBorder="1" applyAlignment="1" applyProtection="1">
      <alignment vertical="center" textRotation="90" wrapText="1"/>
    </xf>
    <xf numFmtId="4" fontId="316" fillId="55" borderId="48" xfId="0" applyNumberFormat="1" applyFont="1" applyFill="1" applyBorder="1" applyAlignment="1" applyProtection="1">
      <alignment horizontal="center" vertical="center"/>
    </xf>
    <xf numFmtId="49" fontId="6" fillId="43" borderId="48" xfId="0" applyNumberFormat="1" applyFont="1" applyFill="1" applyBorder="1" applyAlignment="1">
      <alignment horizontal="center" vertical="center"/>
    </xf>
    <xf numFmtId="49" fontId="6" fillId="43" borderId="123" xfId="0" applyNumberFormat="1" applyFont="1" applyFill="1" applyBorder="1" applyAlignment="1" applyProtection="1">
      <alignment horizontal="left" vertical="center" wrapText="1"/>
    </xf>
    <xf numFmtId="0" fontId="6" fillId="43" borderId="48" xfId="0" applyNumberFormat="1" applyFont="1" applyFill="1" applyBorder="1" applyAlignment="1" applyProtection="1">
      <alignment horizontal="left" vertical="center" wrapText="1"/>
    </xf>
    <xf numFmtId="0" fontId="284" fillId="55" borderId="48" xfId="0" applyFont="1" applyFill="1" applyBorder="1" applyAlignment="1" applyProtection="1">
      <alignment horizontal="left" vertical="center" indent="1"/>
    </xf>
    <xf numFmtId="49" fontId="6" fillId="55" borderId="48" xfId="0" applyNumberFormat="1" applyFont="1" applyFill="1" applyBorder="1" applyAlignment="1" applyProtection="1">
      <alignment horizontal="left" vertical="center" wrapText="1" indent="4"/>
    </xf>
    <xf numFmtId="49" fontId="6" fillId="55" borderId="117" xfId="0" applyNumberFormat="1" applyFont="1" applyFill="1" applyBorder="1" applyAlignment="1" applyProtection="1">
      <alignment horizontal="center" vertical="center" wrapText="1"/>
    </xf>
    <xf numFmtId="0" fontId="11" fillId="55" borderId="48" xfId="0" applyFont="1" applyFill="1" applyBorder="1" applyAlignment="1" applyProtection="1">
      <alignment vertical="center" wrapText="1"/>
    </xf>
    <xf numFmtId="0" fontId="11" fillId="55" borderId="48" xfId="0" applyFont="1" applyFill="1" applyBorder="1" applyAlignment="1" applyProtection="1">
      <alignment vertical="center"/>
    </xf>
    <xf numFmtId="0" fontId="284" fillId="0" borderId="48" xfId="0" applyFont="1" applyBorder="1" applyAlignment="1">
      <alignment horizontal="left" vertical="center" indent="1"/>
    </xf>
    <xf numFmtId="0" fontId="6" fillId="131" borderId="117" xfId="0" applyFont="1" applyFill="1" applyBorder="1" applyAlignment="1" applyProtection="1">
      <alignment horizontal="left" vertical="center" wrapText="1" indent="1"/>
    </xf>
    <xf numFmtId="49" fontId="6" fillId="43" borderId="117" xfId="0" applyNumberFormat="1" applyFont="1" applyFill="1" applyBorder="1" applyAlignment="1" applyProtection="1">
      <alignment horizontal="center" vertical="center" wrapText="1"/>
    </xf>
    <xf numFmtId="4" fontId="11" fillId="56" borderId="48" xfId="0" applyNumberFormat="1" applyFont="1" applyFill="1" applyBorder="1" applyAlignment="1" applyProtection="1">
      <alignment horizontal="right" vertical="center"/>
    </xf>
    <xf numFmtId="4" fontId="0" fillId="56" borderId="48" xfId="0" applyNumberFormat="1" applyFont="1" applyFill="1" applyBorder="1" applyAlignment="1" applyProtection="1">
      <alignment horizontal="right" vertical="center"/>
    </xf>
    <xf numFmtId="0" fontId="284" fillId="0" borderId="48" xfId="0" applyNumberFormat="1" applyFont="1" applyBorder="1" applyAlignment="1">
      <alignment horizontal="left" vertical="center" indent="1"/>
    </xf>
    <xf numFmtId="0" fontId="323" fillId="131" borderId="117" xfId="0" applyFont="1" applyFill="1" applyBorder="1" applyAlignment="1" applyProtection="1">
      <alignment horizontal="left" vertical="center" wrapText="1" indent="2"/>
    </xf>
    <xf numFmtId="49" fontId="323" fillId="0" borderId="48" xfId="0" applyNumberFormat="1" applyFont="1" applyFill="1" applyBorder="1" applyAlignment="1" applyProtection="1">
      <alignment horizontal="left" vertical="center" wrapText="1" indent="3"/>
    </xf>
    <xf numFmtId="4" fontId="11" fillId="106" borderId="48" xfId="0" applyNumberFormat="1" applyFont="1" applyFill="1" applyBorder="1" applyAlignment="1" applyProtection="1">
      <alignment horizontal="right" vertical="center"/>
    </xf>
    <xf numFmtId="4" fontId="0" fillId="106" borderId="48" xfId="0" applyNumberFormat="1" applyFont="1" applyFill="1" applyBorder="1" applyAlignment="1" applyProtection="1">
      <alignment horizontal="right" vertical="center"/>
    </xf>
    <xf numFmtId="16" fontId="284" fillId="0" borderId="48" xfId="0" applyNumberFormat="1" applyFont="1" applyBorder="1" applyAlignment="1">
      <alignment horizontal="left" vertical="center" indent="1"/>
    </xf>
    <xf numFmtId="49" fontId="6" fillId="0" borderId="48" xfId="0" applyNumberFormat="1" applyFont="1" applyFill="1" applyBorder="1" applyAlignment="1" applyProtection="1">
      <alignment horizontal="left" vertical="center" wrapText="1" indent="4"/>
    </xf>
    <xf numFmtId="0" fontId="318" fillId="0" borderId="48" xfId="0" applyNumberFormat="1" applyFont="1" applyBorder="1" applyAlignment="1">
      <alignment horizontal="left" vertical="center" indent="1"/>
    </xf>
    <xf numFmtId="16" fontId="318" fillId="0" borderId="48" xfId="0" applyNumberFormat="1" applyFont="1" applyBorder="1" applyAlignment="1">
      <alignment horizontal="left" vertical="center" indent="1"/>
    </xf>
    <xf numFmtId="4" fontId="0" fillId="57" borderId="48" xfId="0" applyNumberFormat="1" applyFont="1" applyFill="1" applyBorder="1" applyAlignment="1" applyProtection="1">
      <alignment horizontal="right" vertical="center"/>
      <protection locked="0"/>
    </xf>
    <xf numFmtId="0" fontId="284" fillId="0" borderId="119" xfId="0" applyNumberFormat="1" applyFont="1" applyBorder="1" applyAlignment="1">
      <alignment horizontal="left" vertical="center" indent="1"/>
    </xf>
    <xf numFmtId="49" fontId="323" fillId="0" borderId="119" xfId="0" applyNumberFormat="1" applyFont="1" applyFill="1" applyBorder="1" applyAlignment="1" applyProtection="1">
      <alignment horizontal="left" vertical="center" wrapText="1" indent="3"/>
    </xf>
    <xf numFmtId="49" fontId="6" fillId="43" borderId="123" xfId="0" applyNumberFormat="1" applyFont="1" applyFill="1" applyBorder="1" applyAlignment="1" applyProtection="1">
      <alignment horizontal="center" vertical="center" wrapText="1"/>
    </xf>
    <xf numFmtId="4" fontId="11" fillId="56" borderId="119" xfId="0" applyNumberFormat="1" applyFont="1" applyFill="1" applyBorder="1" applyAlignment="1" applyProtection="1">
      <alignment horizontal="right" vertical="center"/>
    </xf>
    <xf numFmtId="49" fontId="6" fillId="55" borderId="48" xfId="0" applyNumberFormat="1" applyFont="1" applyFill="1" applyBorder="1" applyAlignment="1" applyProtection="1">
      <alignment horizontal="center" vertical="center" wrapText="1"/>
    </xf>
    <xf numFmtId="4" fontId="316" fillId="55" borderId="116" xfId="0" applyNumberFormat="1" applyFont="1" applyFill="1" applyBorder="1" applyAlignment="1" applyProtection="1">
      <alignment horizontal="center" vertical="center"/>
    </xf>
    <xf numFmtId="4" fontId="0" fillId="55" borderId="48" xfId="0" applyNumberFormat="1" applyFont="1" applyFill="1" applyBorder="1" applyAlignment="1" applyProtection="1">
      <alignment vertical="top"/>
    </xf>
    <xf numFmtId="49" fontId="6" fillId="43" borderId="48" xfId="0" applyNumberFormat="1" applyFont="1" applyFill="1" applyBorder="1" applyAlignment="1" applyProtection="1">
      <alignment horizontal="center" vertical="center" wrapText="1"/>
    </xf>
    <xf numFmtId="49" fontId="284" fillId="43" borderId="48" xfId="0" applyNumberFormat="1" applyFont="1" applyFill="1" applyBorder="1" applyAlignment="1" applyProtection="1">
      <alignment horizontal="left" vertical="center" wrapText="1" indent="1"/>
    </xf>
    <xf numFmtId="49" fontId="6" fillId="43" borderId="48" xfId="0" applyNumberFormat="1" applyFont="1" applyFill="1" applyBorder="1" applyAlignment="1" applyProtection="1">
      <alignment horizontal="left" vertical="center" wrapText="1" indent="1"/>
    </xf>
    <xf numFmtId="4" fontId="0" fillId="0" borderId="48" xfId="0" applyNumberFormat="1" applyFont="1" applyBorder="1" applyAlignment="1" applyProtection="1">
      <alignment vertical="top"/>
    </xf>
    <xf numFmtId="0" fontId="318" fillId="55" borderId="116" xfId="0" applyFont="1" applyFill="1" applyBorder="1" applyAlignment="1" applyProtection="1">
      <alignment horizontal="center" vertical="center"/>
    </xf>
    <xf numFmtId="4" fontId="13" fillId="169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4" xfId="0" applyNumberFormat="1" applyBorder="1" applyAlignment="1">
      <alignment vertical="center"/>
    </xf>
    <xf numFmtId="2" fontId="0" fillId="168" borderId="124" xfId="0" applyNumberFormat="1" applyFill="1" applyBorder="1" applyAlignment="1">
      <alignment vertical="center"/>
    </xf>
    <xf numFmtId="164" fontId="0" fillId="0" borderId="0" xfId="16845" applyNumberFormat="1" applyFont="1" applyBorder="1" applyAlignment="1">
      <alignment vertical="center"/>
    </xf>
    <xf numFmtId="49" fontId="6" fillId="43" borderId="124" xfId="0" applyNumberFormat="1" applyFont="1" applyFill="1" applyBorder="1" applyAlignment="1" applyProtection="1">
      <alignment horizontal="left" vertical="center" wrapText="1" indent="3"/>
    </xf>
    <xf numFmtId="4" fontId="11" fillId="38" borderId="124" xfId="0" applyNumberFormat="1" applyFont="1" applyFill="1" applyBorder="1" applyAlignment="1" applyProtection="1">
      <alignment horizontal="center" vertical="center" wrapText="1"/>
      <protection locked="0"/>
    </xf>
    <xf numFmtId="2" fontId="3" fillId="168" borderId="12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168" borderId="15" xfId="0" applyNumberFormat="1" applyFill="1" applyBorder="1" applyAlignment="1">
      <alignment horizontal="center" vertical="center"/>
    </xf>
    <xf numFmtId="43" fontId="325" fillId="0" borderId="15" xfId="1" applyFont="1" applyBorder="1"/>
    <xf numFmtId="0" fontId="0" fillId="0" borderId="124" xfId="0" applyBorder="1"/>
    <xf numFmtId="43" fontId="0" fillId="0" borderId="124" xfId="0" applyNumberFormat="1" applyBorder="1"/>
    <xf numFmtId="0" fontId="326" fillId="0" borderId="124" xfId="0" applyFont="1" applyBorder="1"/>
    <xf numFmtId="2" fontId="326" fillId="168" borderId="15" xfId="0" applyNumberFormat="1" applyFont="1" applyFill="1" applyBorder="1" applyAlignment="1">
      <alignment vertical="center"/>
    </xf>
    <xf numFmtId="2" fontId="326" fillId="0" borderId="0" xfId="0" applyNumberFormat="1" applyFont="1" applyAlignment="1">
      <alignment vertical="center"/>
    </xf>
    <xf numFmtId="2" fontId="232" fillId="168" borderId="124" xfId="0" applyNumberFormat="1" applyFont="1" applyFill="1" applyBorder="1" applyAlignment="1">
      <alignment vertical="center"/>
    </xf>
    <xf numFmtId="4" fontId="0" fillId="0" borderId="124" xfId="0" applyNumberFormat="1" applyBorder="1"/>
    <xf numFmtId="2" fontId="13" fillId="168" borderId="15" xfId="0" applyNumberFormat="1" applyFont="1" applyFill="1" applyBorder="1" applyAlignment="1" applyProtection="1">
      <alignment horizontal="center" vertical="center" wrapText="1"/>
    </xf>
    <xf numFmtId="2" fontId="0" fillId="54" borderId="0" xfId="0" applyNumberFormat="1" applyFill="1" applyBorder="1" applyAlignment="1">
      <alignment vertical="center" wrapText="1"/>
    </xf>
    <xf numFmtId="2" fontId="0" fillId="54" borderId="0" xfId="0" applyNumberFormat="1" applyFill="1" applyAlignment="1">
      <alignment vertical="center"/>
    </xf>
    <xf numFmtId="2" fontId="0" fillId="54" borderId="124" xfId="0" applyNumberFormat="1" applyFill="1" applyBorder="1" applyAlignment="1">
      <alignment vertical="center" wrapText="1"/>
    </xf>
    <xf numFmtId="2" fontId="0" fillId="54" borderId="124" xfId="0" applyNumberFormat="1" applyFill="1" applyBorder="1" applyAlignment="1">
      <alignment vertical="center"/>
    </xf>
    <xf numFmtId="0" fontId="242" fillId="0" borderId="0" xfId="10755" applyFont="1"/>
    <xf numFmtId="0" fontId="327" fillId="0" borderId="0" xfId="10755" applyFont="1" applyAlignment="1">
      <alignment horizontal="right"/>
    </xf>
    <xf numFmtId="0" fontId="241" fillId="0" borderId="61" xfId="10755" applyFont="1" applyBorder="1" applyAlignment="1">
      <alignment horizontal="center" vertical="center"/>
    </xf>
    <xf numFmtId="0" fontId="241" fillId="0" borderId="84" xfId="10755" applyFont="1" applyBorder="1" applyAlignment="1">
      <alignment horizontal="center" vertical="center" wrapText="1"/>
    </xf>
    <xf numFmtId="0" fontId="241" fillId="0" borderId="86" xfId="10755" applyFont="1" applyBorder="1" applyAlignment="1">
      <alignment horizontal="center" vertical="center" wrapText="1"/>
    </xf>
    <xf numFmtId="0" fontId="241" fillId="0" borderId="85" xfId="10755" applyFont="1" applyBorder="1" applyAlignment="1">
      <alignment horizontal="center" vertical="center" wrapText="1"/>
    </xf>
    <xf numFmtId="0" fontId="328" fillId="0" borderId="0" xfId="10755" applyFont="1"/>
    <xf numFmtId="0" fontId="241" fillId="0" borderId="125" xfId="10755" applyFont="1" applyBorder="1" applyAlignment="1">
      <alignment wrapText="1"/>
    </xf>
    <xf numFmtId="0" fontId="241" fillId="0" borderId="126" xfId="10755" applyFont="1" applyBorder="1" applyAlignment="1">
      <alignment wrapText="1"/>
    </xf>
    <xf numFmtId="0" fontId="241" fillId="0" borderId="127" xfId="10755" applyFont="1" applyBorder="1" applyAlignment="1">
      <alignment wrapText="1"/>
    </xf>
    <xf numFmtId="0" fontId="241" fillId="0" borderId="128" xfId="10755" applyFont="1" applyBorder="1" applyAlignment="1">
      <alignment wrapText="1"/>
    </xf>
    <xf numFmtId="4" fontId="241" fillId="0" borderId="126" xfId="10755" applyNumberFormat="1" applyFont="1" applyBorder="1" applyAlignment="1">
      <alignment wrapText="1"/>
    </xf>
    <xf numFmtId="4" fontId="241" fillId="0" borderId="127" xfId="10755" applyNumberFormat="1" applyFont="1" applyBorder="1" applyAlignment="1">
      <alignment wrapText="1"/>
    </xf>
    <xf numFmtId="4" fontId="241" fillId="0" borderId="128" xfId="10755" applyNumberFormat="1" applyFont="1" applyBorder="1" applyAlignment="1">
      <alignment wrapText="1"/>
    </xf>
    <xf numFmtId="0" fontId="241" fillId="0" borderId="129" xfId="10755" applyFont="1" applyBorder="1" applyAlignment="1">
      <alignment wrapText="1"/>
    </xf>
    <xf numFmtId="0" fontId="241" fillId="0" borderId="130" xfId="10755" applyFont="1" applyBorder="1" applyAlignment="1">
      <alignment wrapText="1"/>
    </xf>
    <xf numFmtId="0" fontId="241" fillId="0" borderId="124" xfId="10755" applyFont="1" applyBorder="1" applyAlignment="1">
      <alignment wrapText="1"/>
    </xf>
    <xf numFmtId="0" fontId="241" fillId="0" borderId="131" xfId="10755" applyFont="1" applyBorder="1" applyAlignment="1">
      <alignment wrapText="1"/>
    </xf>
    <xf numFmtId="4" fontId="241" fillId="0" borderId="130" xfId="10755" applyNumberFormat="1" applyFont="1" applyBorder="1" applyAlignment="1">
      <alignment wrapText="1"/>
    </xf>
    <xf numFmtId="4" fontId="241" fillId="0" borderId="124" xfId="10755" applyNumberFormat="1" applyFont="1" applyBorder="1" applyAlignment="1">
      <alignment wrapText="1"/>
    </xf>
    <xf numFmtId="4" fontId="241" fillId="0" borderId="131" xfId="10755" applyNumberFormat="1" applyFont="1" applyBorder="1" applyAlignment="1">
      <alignment wrapText="1"/>
    </xf>
    <xf numFmtId="0" fontId="241" fillId="0" borderId="132" xfId="10755" applyFont="1" applyBorder="1" applyAlignment="1">
      <alignment wrapText="1"/>
    </xf>
    <xf numFmtId="0" fontId="241" fillId="0" borderId="133" xfId="10755" applyFont="1" applyBorder="1" applyAlignment="1">
      <alignment wrapText="1"/>
    </xf>
    <xf numFmtId="0" fontId="241" fillId="0" borderId="134" xfId="10755" applyFont="1" applyBorder="1" applyAlignment="1">
      <alignment wrapText="1"/>
    </xf>
    <xf numFmtId="0" fontId="241" fillId="0" borderId="135" xfId="10755" applyFont="1" applyBorder="1" applyAlignment="1">
      <alignment wrapText="1"/>
    </xf>
    <xf numFmtId="4" fontId="241" fillId="0" borderId="133" xfId="10755" applyNumberFormat="1" applyFont="1" applyBorder="1" applyAlignment="1">
      <alignment wrapText="1"/>
    </xf>
    <xf numFmtId="4" fontId="241" fillId="0" borderId="134" xfId="10755" applyNumberFormat="1" applyFont="1" applyBorder="1" applyAlignment="1">
      <alignment wrapText="1"/>
    </xf>
    <xf numFmtId="4" fontId="241" fillId="0" borderId="135" xfId="10755" applyNumberFormat="1" applyFont="1" applyBorder="1" applyAlignment="1">
      <alignment wrapText="1"/>
    </xf>
    <xf numFmtId="0" fontId="242" fillId="0" borderId="77" xfId="10755" applyFont="1" applyBorder="1" applyAlignment="1">
      <alignment wrapText="1"/>
    </xf>
    <xf numFmtId="4" fontId="329" fillId="0" borderId="84" xfId="10755" applyNumberFormat="1" applyFont="1" applyBorder="1" applyAlignment="1">
      <alignment wrapText="1"/>
    </xf>
    <xf numFmtId="4" fontId="330" fillId="0" borderId="86" xfId="10755" applyNumberFormat="1" applyFont="1" applyBorder="1" applyAlignment="1">
      <alignment wrapText="1"/>
    </xf>
    <xf numFmtId="4" fontId="242" fillId="0" borderId="85" xfId="10755" applyNumberFormat="1" applyFont="1" applyBorder="1" applyAlignment="1">
      <alignment wrapText="1"/>
    </xf>
    <xf numFmtId="4" fontId="242" fillId="0" borderId="84" xfId="10755" applyNumberFormat="1" applyFont="1" applyBorder="1" applyAlignment="1">
      <alignment wrapText="1"/>
    </xf>
    <xf numFmtId="4" fontId="242" fillId="0" borderId="86" xfId="10755" applyNumberFormat="1" applyFont="1" applyBorder="1" applyAlignment="1">
      <alignment wrapText="1"/>
    </xf>
    <xf numFmtId="0" fontId="331" fillId="0" borderId="0" xfId="10755" applyFont="1"/>
    <xf numFmtId="0" fontId="242" fillId="0" borderId="61" xfId="10755" applyFont="1" applyBorder="1" applyAlignment="1">
      <alignment wrapText="1"/>
    </xf>
    <xf numFmtId="4" fontId="232" fillId="54" borderId="0" xfId="10755" applyNumberFormat="1" applyFont="1" applyFill="1"/>
    <xf numFmtId="0" fontId="332" fillId="0" borderId="0" xfId="10755" applyFont="1"/>
    <xf numFmtId="4" fontId="333" fillId="0" borderId="0" xfId="10755" applyNumberFormat="1" applyFont="1"/>
    <xf numFmtId="4" fontId="232" fillId="0" borderId="0" xfId="10755" applyNumberFormat="1" applyFont="1"/>
    <xf numFmtId="2" fontId="334" fillId="168" borderId="15" xfId="0" applyNumberFormat="1" applyFont="1" applyFill="1" applyBorder="1" applyAlignment="1">
      <alignment vertical="center" wrapText="1"/>
    </xf>
    <xf numFmtId="2" fontId="335" fillId="168" borderId="15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10" fontId="0" fillId="175" borderId="15" xfId="16845" applyNumberFormat="1" applyFont="1" applyFill="1" applyBorder="1" applyAlignment="1">
      <alignment vertical="center"/>
    </xf>
    <xf numFmtId="164" fontId="0" fillId="175" borderId="15" xfId="16845" applyNumberFormat="1" applyFont="1" applyFill="1" applyBorder="1" applyAlignment="1">
      <alignment vertical="center"/>
    </xf>
    <xf numFmtId="165" fontId="0" fillId="175" borderId="15" xfId="0" applyNumberFormat="1" applyFill="1" applyBorder="1" applyAlignment="1">
      <alignment vertical="center" wrapText="1"/>
    </xf>
    <xf numFmtId="165" fontId="0" fillId="175" borderId="0" xfId="0" applyNumberFormat="1" applyFill="1" applyAlignment="1">
      <alignment vertical="center"/>
    </xf>
    <xf numFmtId="165" fontId="0" fillId="175" borderId="15" xfId="0" applyNumberFormat="1" applyFill="1" applyBorder="1" applyAlignment="1">
      <alignment vertical="center"/>
    </xf>
    <xf numFmtId="4" fontId="20" fillId="159" borderId="15" xfId="1" applyNumberFormat="1" applyFont="1" applyFill="1" applyBorder="1" applyAlignment="1" applyProtection="1">
      <alignment horizontal="center" vertical="center" wrapText="1"/>
      <protection locked="0"/>
    </xf>
    <xf numFmtId="4" fontId="6" fillId="159" borderId="15" xfId="1" applyNumberFormat="1" applyFont="1" applyFill="1" applyBorder="1" applyAlignment="1" applyProtection="1">
      <alignment horizontal="center" vertical="center" wrapText="1"/>
      <protection locked="0"/>
    </xf>
    <xf numFmtId="0" fontId="333" fillId="0" borderId="0" xfId="10755" applyFont="1" applyAlignment="1">
      <alignment horizontal="center"/>
    </xf>
    <xf numFmtId="0" fontId="312" fillId="0" borderId="0" xfId="0" applyFont="1" applyAlignment="1">
      <alignment vertical="center"/>
    </xf>
    <xf numFmtId="4" fontId="13" fillId="159" borderId="15" xfId="1" applyNumberFormat="1" applyFont="1" applyFill="1" applyBorder="1" applyAlignment="1" applyProtection="1">
      <alignment horizontal="center" vertical="center" wrapText="1"/>
      <protection locked="0"/>
    </xf>
    <xf numFmtId="4" fontId="6" fillId="159" borderId="15" xfId="0" applyNumberFormat="1" applyFont="1" applyFill="1" applyBorder="1" applyAlignment="1" applyProtection="1">
      <alignment horizontal="center" vertical="center" wrapText="1"/>
      <protection locked="0"/>
    </xf>
    <xf numFmtId="4" fontId="312" fillId="41" borderId="0" xfId="0" applyNumberFormat="1" applyFont="1" applyFill="1" applyAlignment="1">
      <alignment vertical="center"/>
    </xf>
    <xf numFmtId="0" fontId="0" fillId="41" borderId="0" xfId="0" applyFill="1" applyAlignment="1">
      <alignment vertical="center"/>
    </xf>
    <xf numFmtId="2" fontId="0" fillId="41" borderId="0" xfId="1" applyNumberFormat="1" applyFont="1" applyFill="1" applyBorder="1" applyAlignment="1">
      <alignment vertical="center"/>
    </xf>
    <xf numFmtId="4" fontId="314" fillId="41" borderId="0" xfId="0" applyNumberFormat="1" applyFont="1" applyFill="1" applyBorder="1" applyAlignment="1">
      <alignment horizontal="right" vertical="center"/>
    </xf>
    <xf numFmtId="4" fontId="313" fillId="41" borderId="0" xfId="0" applyNumberFormat="1" applyFont="1" applyFill="1" applyBorder="1" applyAlignment="1">
      <alignment horizontal="center" vertical="center"/>
    </xf>
    <xf numFmtId="164" fontId="312" fillId="41" borderId="0" xfId="16845" applyNumberFormat="1" applyFont="1" applyFill="1" applyBorder="1" applyAlignment="1">
      <alignment vertical="center"/>
    </xf>
    <xf numFmtId="4" fontId="312" fillId="41" borderId="0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 vertical="center"/>
    </xf>
    <xf numFmtId="2" fontId="0" fillId="41" borderId="0" xfId="0" applyNumberFormat="1" applyFill="1" applyBorder="1" applyAlignment="1">
      <alignment vertical="center"/>
    </xf>
    <xf numFmtId="0" fontId="336" fillId="41" borderId="0" xfId="0" applyFont="1" applyFill="1" applyAlignment="1">
      <alignment horizontal="center" vertical="center" wrapText="1"/>
    </xf>
    <xf numFmtId="4" fontId="336" fillId="41" borderId="0" xfId="0" applyNumberFormat="1" applyFont="1" applyFill="1" applyAlignment="1">
      <alignment vertical="center"/>
    </xf>
    <xf numFmtId="0" fontId="11" fillId="38" borderId="15" xfId="16845" applyNumberFormat="1" applyFont="1" applyFill="1" applyBorder="1" applyAlignment="1" applyProtection="1">
      <alignment horizontal="center" vertical="center" wrapText="1"/>
      <protection locked="0"/>
    </xf>
    <xf numFmtId="166" fontId="11" fillId="38" borderId="15" xfId="0" applyNumberFormat="1" applyFont="1" applyFill="1" applyBorder="1" applyAlignment="1" applyProtection="1">
      <alignment horizontal="center" vertical="center" wrapText="1"/>
      <protection locked="0"/>
    </xf>
    <xf numFmtId="241" fontId="11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54" borderId="15" xfId="0" applyNumberFormat="1" applyFill="1" applyBorder="1" applyAlignment="1">
      <alignment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166" fontId="11" fillId="38" borderId="124" xfId="0" applyNumberFormat="1" applyFont="1" applyFill="1" applyBorder="1" applyAlignment="1" applyProtection="1">
      <alignment horizontal="center" vertical="center" wrapText="1"/>
      <protection locked="0"/>
    </xf>
    <xf numFmtId="243" fontId="11" fillId="38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168" borderId="0" xfId="0" applyNumberFormat="1" applyFont="1" applyFill="1" applyBorder="1" applyAlignment="1">
      <alignment vertical="center"/>
    </xf>
    <xf numFmtId="2" fontId="232" fillId="168" borderId="0" xfId="0" applyNumberFormat="1" applyFont="1" applyFill="1" applyBorder="1" applyAlignment="1">
      <alignment vertical="center"/>
    </xf>
    <xf numFmtId="2" fontId="0" fillId="174" borderId="15" xfId="0" applyNumberFormat="1" applyFill="1" applyBorder="1" applyAlignment="1">
      <alignment vertical="center"/>
    </xf>
    <xf numFmtId="4" fontId="22" fillId="176" borderId="15" xfId="0" applyNumberFormat="1" applyFont="1" applyFill="1" applyBorder="1" applyAlignment="1" applyProtection="1">
      <alignment horizontal="center" vertical="center" wrapText="1"/>
    </xf>
    <xf numFmtId="14" fontId="0" fillId="174" borderId="15" xfId="0" applyNumberFormat="1" applyFill="1" applyBorder="1" applyAlignment="1">
      <alignment horizontal="center" vertical="center"/>
    </xf>
    <xf numFmtId="0" fontId="0" fillId="174" borderId="15" xfId="0" applyFill="1" applyBorder="1" applyAlignment="1">
      <alignment horizontal="center" vertical="center"/>
    </xf>
    <xf numFmtId="2" fontId="0" fillId="174" borderId="15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31" fillId="54" borderId="0" xfId="0" applyNumberFormat="1" applyFont="1" applyFill="1" applyBorder="1" applyAlignment="1">
      <alignment horizontal="center" vertical="center"/>
    </xf>
    <xf numFmtId="4" fontId="20" fillId="177" borderId="15" xfId="1" applyNumberFormat="1" applyFont="1" applyFill="1" applyBorder="1" applyAlignment="1" applyProtection="1">
      <alignment horizontal="center" vertical="center" wrapText="1"/>
      <protection locked="0"/>
    </xf>
    <xf numFmtId="4" fontId="11" fillId="34" borderId="0" xfId="0" applyNumberFormat="1" applyFont="1" applyFill="1" applyBorder="1" applyAlignment="1" applyProtection="1">
      <alignment horizontal="center" vertical="center"/>
    </xf>
    <xf numFmtId="244" fontId="11" fillId="34" borderId="0" xfId="0" applyNumberFormat="1" applyFont="1" applyFill="1" applyBorder="1" applyAlignment="1" applyProtection="1">
      <alignment horizontal="center" vertical="center"/>
    </xf>
    <xf numFmtId="245" fontId="11" fillId="34" borderId="0" xfId="0" applyNumberFormat="1" applyFont="1" applyFill="1" applyBorder="1" applyAlignment="1" applyProtection="1">
      <alignment horizontal="center" vertical="center"/>
    </xf>
    <xf numFmtId="0" fontId="337" fillId="0" borderId="15" xfId="0" applyNumberFormat="1" applyFont="1" applyFill="1" applyBorder="1" applyAlignment="1">
      <alignment horizontal="left" vertical="center" wrapText="1" indent="2"/>
    </xf>
    <xf numFmtId="49" fontId="6" fillId="178" borderId="15" xfId="0" applyNumberFormat="1" applyFont="1" applyFill="1" applyBorder="1" applyAlignment="1" applyProtection="1">
      <alignment horizontal="left" vertical="center" wrapText="1" indent="3"/>
    </xf>
    <xf numFmtId="4" fontId="29" fillId="159" borderId="15" xfId="1" applyNumberFormat="1" applyFont="1" applyFill="1" applyBorder="1" applyAlignment="1" applyProtection="1">
      <alignment horizontal="center" vertical="center" wrapText="1"/>
      <protection locked="0"/>
    </xf>
    <xf numFmtId="0" fontId="0" fillId="179" borderId="0" xfId="0" applyFill="1" applyAlignment="1">
      <alignment horizontal="center"/>
    </xf>
    <xf numFmtId="4" fontId="232" fillId="0" borderId="0" xfId="0" applyNumberFormat="1" applyFont="1"/>
    <xf numFmtId="0" fontId="295" fillId="179" borderId="0" xfId="0" applyFont="1" applyFill="1" applyAlignment="1">
      <alignment horizontal="center"/>
    </xf>
    <xf numFmtId="0" fontId="282" fillId="0" borderId="0" xfId="0" applyFont="1"/>
    <xf numFmtId="4" fontId="282" fillId="0" borderId="0" xfId="0" applyNumberFormat="1" applyFont="1"/>
    <xf numFmtId="4" fontId="0" fillId="54" borderId="15" xfId="0" applyNumberFormat="1" applyFill="1" applyBorder="1" applyAlignment="1">
      <alignment horizontal="center"/>
    </xf>
    <xf numFmtId="49" fontId="6" fillId="41" borderId="15" xfId="0" applyNumberFormat="1" applyFont="1" applyFill="1" applyBorder="1" applyAlignment="1" applyProtection="1">
      <alignment horizontal="left" vertical="center" wrapText="1" indent="3"/>
    </xf>
    <xf numFmtId="0" fontId="232" fillId="0" borderId="62" xfId="10886" applyFont="1" applyBorder="1" applyAlignment="1">
      <alignment horizontal="center" vertical="center" wrapText="1"/>
    </xf>
    <xf numFmtId="0" fontId="232" fillId="0" borderId="15" xfId="10886" applyFont="1" applyBorder="1" applyAlignment="1">
      <alignment horizontal="center" vertical="center" wrapText="1"/>
    </xf>
    <xf numFmtId="0" fontId="232" fillId="0" borderId="16" xfId="10886" applyFont="1" applyBorder="1" applyAlignment="1">
      <alignment horizontal="center" vertical="center" wrapText="1"/>
    </xf>
    <xf numFmtId="0" fontId="1" fillId="41" borderId="19" xfId="10886" applyFill="1" applyBorder="1" applyAlignment="1">
      <alignment horizontal="center" vertical="center"/>
    </xf>
    <xf numFmtId="0" fontId="1" fillId="41" borderId="14" xfId="10886" applyFill="1" applyBorder="1" applyAlignment="1">
      <alignment horizontal="center" vertical="center"/>
    </xf>
    <xf numFmtId="0" fontId="1" fillId="41" borderId="78" xfId="10886" applyFill="1" applyBorder="1" applyAlignment="1">
      <alignment horizontal="center" vertical="center"/>
    </xf>
    <xf numFmtId="0" fontId="232" fillId="41" borderId="26" xfId="10886" applyFont="1" applyFill="1" applyBorder="1" applyAlignment="1">
      <alignment horizontal="center" vertical="center" wrapText="1"/>
    </xf>
    <xf numFmtId="0" fontId="232" fillId="41" borderId="27" xfId="10886" applyFont="1" applyFill="1" applyBorder="1" applyAlignment="1">
      <alignment horizontal="center" vertical="center" wrapText="1"/>
    </xf>
    <xf numFmtId="0" fontId="232" fillId="0" borderId="0" xfId="10886" applyFont="1" applyAlignment="1">
      <alignment horizontal="right"/>
    </xf>
    <xf numFmtId="0" fontId="232" fillId="0" borderId="99" xfId="10886" applyFont="1" applyBorder="1" applyAlignment="1">
      <alignment horizontal="center" vertical="center"/>
    </xf>
    <xf numFmtId="0" fontId="232" fillId="0" borderId="96" xfId="10886" applyFont="1" applyBorder="1" applyAlignment="1">
      <alignment horizontal="center" vertical="center"/>
    </xf>
    <xf numFmtId="0" fontId="232" fillId="0" borderId="113" xfId="10886" applyFont="1" applyBorder="1" applyAlignment="1">
      <alignment horizontal="center" vertical="center"/>
    </xf>
    <xf numFmtId="0" fontId="232" fillId="0" borderId="112" xfId="10886" applyFont="1" applyBorder="1" applyAlignment="1">
      <alignment horizontal="center" vertical="center"/>
    </xf>
    <xf numFmtId="0" fontId="232" fillId="0" borderId="65" xfId="10886" applyFont="1" applyBorder="1" applyAlignment="1">
      <alignment horizontal="center" vertical="center"/>
    </xf>
    <xf numFmtId="0" fontId="232" fillId="0" borderId="111" xfId="10886" applyFont="1" applyBorder="1" applyAlignment="1">
      <alignment horizontal="center" vertical="center" wrapText="1"/>
    </xf>
    <xf numFmtId="0" fontId="232" fillId="0" borderId="83" xfId="10886" applyFont="1" applyBorder="1" applyAlignment="1">
      <alignment horizontal="center" vertical="center" wrapText="1"/>
    </xf>
    <xf numFmtId="0" fontId="232" fillId="0" borderId="110" xfId="10886" applyFont="1" applyBorder="1" applyAlignment="1">
      <alignment horizontal="center" vertical="center" wrapText="1"/>
    </xf>
    <xf numFmtId="0" fontId="232" fillId="41" borderId="108" xfId="10886" applyFont="1" applyFill="1" applyBorder="1" applyAlignment="1">
      <alignment horizontal="center" vertical="center"/>
    </xf>
    <xf numFmtId="0" fontId="232" fillId="41" borderId="109" xfId="10886" applyFont="1" applyFill="1" applyBorder="1" applyAlignment="1">
      <alignment horizontal="center" vertical="center"/>
    </xf>
    <xf numFmtId="0" fontId="232" fillId="41" borderId="99" xfId="10886" applyFont="1" applyFill="1" applyBorder="1" applyAlignment="1">
      <alignment horizontal="center" vertical="center"/>
    </xf>
    <xf numFmtId="0" fontId="232" fillId="41" borderId="21" xfId="10886" applyFont="1" applyFill="1" applyBorder="1" applyAlignment="1">
      <alignment horizontal="center" vertical="center"/>
    </xf>
    <xf numFmtId="0" fontId="232" fillId="41" borderId="98" xfId="10886" applyFont="1" applyFill="1" applyBorder="1" applyAlignment="1">
      <alignment horizontal="center" vertical="center"/>
    </xf>
    <xf numFmtId="0" fontId="232" fillId="41" borderId="100" xfId="10886" applyFont="1" applyFill="1" applyBorder="1" applyAlignment="1">
      <alignment horizontal="center" vertical="center"/>
    </xf>
    <xf numFmtId="0" fontId="232" fillId="41" borderId="96" xfId="10886" applyFont="1" applyFill="1" applyBorder="1" applyAlignment="1">
      <alignment horizontal="center" vertical="center"/>
    </xf>
    <xf numFmtId="0" fontId="1" fillId="41" borderId="26" xfId="10886" applyFill="1" applyBorder="1" applyAlignment="1">
      <alignment horizontal="center" vertical="center" wrapText="1"/>
    </xf>
    <xf numFmtId="0" fontId="1" fillId="41" borderId="25" xfId="10886" applyFill="1" applyBorder="1" applyAlignment="1">
      <alignment horizontal="center" vertical="center" wrapText="1"/>
    </xf>
    <xf numFmtId="0" fontId="232" fillId="41" borderId="52" xfId="10886" applyFont="1" applyFill="1" applyBorder="1" applyAlignment="1">
      <alignment horizontal="center" vertical="center" wrapText="1"/>
    </xf>
    <xf numFmtId="0" fontId="232" fillId="41" borderId="67" xfId="10886" applyFont="1" applyFill="1" applyBorder="1" applyAlignment="1">
      <alignment horizontal="center" vertical="center" wrapText="1"/>
    </xf>
    <xf numFmtId="0" fontId="232" fillId="41" borderId="74" xfId="10886" applyFont="1" applyFill="1" applyBorder="1" applyAlignment="1">
      <alignment horizontal="center" vertical="center"/>
    </xf>
    <xf numFmtId="0" fontId="232" fillId="41" borderId="14" xfId="10886" applyFont="1" applyFill="1" applyBorder="1" applyAlignment="1">
      <alignment horizontal="center" vertical="center"/>
    </xf>
    <xf numFmtId="0" fontId="232" fillId="41" borderId="108" xfId="10886" applyFont="1" applyFill="1" applyBorder="1" applyAlignment="1">
      <alignment horizontal="center" vertical="center" wrapText="1"/>
    </xf>
    <xf numFmtId="0" fontId="232" fillId="41" borderId="14" xfId="10886" applyFont="1" applyFill="1" applyBorder="1" applyAlignment="1">
      <alignment horizontal="center" vertical="center" wrapText="1"/>
    </xf>
    <xf numFmtId="0" fontId="232" fillId="41" borderId="109" xfId="10886" applyFont="1" applyFill="1" applyBorder="1" applyAlignment="1">
      <alignment horizontal="center" vertical="center" wrapText="1"/>
    </xf>
    <xf numFmtId="0" fontId="232" fillId="41" borderId="57" xfId="10886" applyFont="1" applyFill="1" applyBorder="1" applyAlignment="1">
      <alignment horizontal="center" vertical="center" wrapText="1"/>
    </xf>
    <xf numFmtId="0" fontId="232" fillId="41" borderId="19" xfId="10886" applyFont="1" applyFill="1" applyBorder="1" applyAlignment="1">
      <alignment horizontal="center" vertical="center"/>
    </xf>
    <xf numFmtId="0" fontId="232" fillId="41" borderId="78" xfId="10886" applyFont="1" applyFill="1" applyBorder="1" applyAlignment="1">
      <alignment horizontal="center" vertical="center"/>
    </xf>
    <xf numFmtId="0" fontId="232" fillId="41" borderId="26" xfId="10886" applyFont="1" applyFill="1" applyBorder="1" applyAlignment="1">
      <alignment horizontal="center" vertical="center"/>
    </xf>
    <xf numFmtId="0" fontId="232" fillId="41" borderId="27" xfId="10886" applyFont="1" applyFill="1" applyBorder="1" applyAlignment="1">
      <alignment horizontal="center" vertical="center"/>
    </xf>
    <xf numFmtId="0" fontId="232" fillId="41" borderId="25" xfId="10886" applyFont="1" applyFill="1" applyBorder="1" applyAlignment="1">
      <alignment horizontal="center" vertical="center"/>
    </xf>
    <xf numFmtId="0" fontId="256" fillId="0" borderId="20" xfId="0" applyFont="1" applyBorder="1" applyAlignment="1">
      <alignment horizontal="center"/>
    </xf>
    <xf numFmtId="0" fontId="256" fillId="0" borderId="29" xfId="0" applyFont="1" applyBorder="1" applyAlignment="1">
      <alignment horizontal="center"/>
    </xf>
    <xf numFmtId="0" fontId="256" fillId="0" borderId="3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97" fillId="0" borderId="57" xfId="0" applyFont="1" applyBorder="1" applyAlignment="1">
      <alignment horizontal="center" wrapText="1"/>
    </xf>
    <xf numFmtId="0" fontId="297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232" fillId="0" borderId="15" xfId="0" applyFont="1" applyFill="1" applyBorder="1" applyAlignment="1">
      <alignment horizontal="center" vertical="center" wrapText="1"/>
    </xf>
    <xf numFmtId="0" fontId="232" fillId="0" borderId="15" xfId="0" applyFont="1" applyBorder="1" applyAlignment="1">
      <alignment horizontal="center" vertical="center" wrapText="1"/>
    </xf>
    <xf numFmtId="0" fontId="24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/>
    </xf>
    <xf numFmtId="0" fontId="23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32" fillId="0" borderId="11" xfId="0" applyFont="1" applyBorder="1" applyAlignment="1">
      <alignment horizontal="center" vertical="center" wrapText="1"/>
    </xf>
    <xf numFmtId="0" fontId="232" fillId="0" borderId="26" xfId="0" applyFont="1" applyBorder="1" applyAlignment="1">
      <alignment horizontal="center" vertical="center" wrapText="1"/>
    </xf>
    <xf numFmtId="0" fontId="232" fillId="0" borderId="12" xfId="0" applyFont="1" applyFill="1" applyBorder="1" applyAlignment="1">
      <alignment horizontal="center" vertical="center" wrapText="1"/>
    </xf>
    <xf numFmtId="0" fontId="232" fillId="0" borderId="18" xfId="0" applyFont="1" applyFill="1" applyBorder="1" applyAlignment="1">
      <alignment horizontal="center" vertical="center" wrapText="1"/>
    </xf>
    <xf numFmtId="0" fontId="232" fillId="0" borderId="30" xfId="0" applyFont="1" applyBorder="1" applyAlignment="1">
      <alignment horizontal="center" vertical="center" wrapText="1"/>
    </xf>
    <xf numFmtId="0" fontId="232" fillId="0" borderId="20" xfId="0" applyFont="1" applyBorder="1" applyAlignment="1">
      <alignment horizontal="center" vertical="center" wrapText="1"/>
    </xf>
    <xf numFmtId="0" fontId="231" fillId="0" borderId="0" xfId="0" applyFont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49" fontId="6" fillId="33" borderId="108" xfId="0" applyNumberFormat="1" applyFont="1" applyFill="1" applyBorder="1" applyAlignment="1" applyProtection="1">
      <alignment horizontal="center" vertical="center" textRotation="90" wrapText="1"/>
    </xf>
    <xf numFmtId="49" fontId="6" fillId="33" borderId="14" xfId="0" applyNumberFormat="1" applyFont="1" applyFill="1" applyBorder="1" applyAlignment="1" applyProtection="1">
      <alignment horizontal="center" vertical="center" textRotation="90" wrapText="1"/>
    </xf>
    <xf numFmtId="0" fontId="7" fillId="0" borderId="99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4" fontId="6" fillId="33" borderId="100" xfId="0" applyNumberFormat="1" applyFont="1" applyFill="1" applyBorder="1" applyAlignment="1" applyProtection="1">
      <alignment horizontal="center" vertical="center" wrapText="1"/>
    </xf>
    <xf numFmtId="164" fontId="6" fillId="33" borderId="16" xfId="0" applyNumberFormat="1" applyFont="1" applyFill="1" applyBorder="1" applyAlignment="1" applyProtection="1">
      <alignment horizontal="center" vertical="center" wrapText="1"/>
    </xf>
    <xf numFmtId="0" fontId="8" fillId="0" borderId="9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4" fillId="0" borderId="0" xfId="0" applyFont="1" applyAlignment="1">
      <alignment horizontal="center"/>
    </xf>
    <xf numFmtId="49" fontId="6" fillId="33" borderId="26" xfId="0" applyNumberFormat="1" applyFont="1" applyFill="1" applyBorder="1" applyAlignment="1" applyProtection="1">
      <alignment horizontal="center" vertical="center" textRotation="90" wrapText="1"/>
    </xf>
    <xf numFmtId="49" fontId="6" fillId="33" borderId="27" xfId="0" applyNumberFormat="1" applyFont="1" applyFill="1" applyBorder="1" applyAlignment="1" applyProtection="1">
      <alignment horizontal="center" vertical="center" textRotation="90" wrapText="1"/>
    </xf>
    <xf numFmtId="49" fontId="6" fillId="33" borderId="25" xfId="0" applyNumberFormat="1" applyFont="1" applyFill="1" applyBorder="1" applyAlignment="1" applyProtection="1">
      <alignment horizontal="center" vertical="center" textRotation="90" wrapText="1"/>
    </xf>
    <xf numFmtId="164" fontId="6" fillId="33" borderId="20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96" xfId="0" applyFont="1" applyBorder="1" applyAlignment="1">
      <alignment horizontal="center" wrapText="1"/>
    </xf>
    <xf numFmtId="0" fontId="8" fillId="0" borderId="112" xfId="0" applyFont="1" applyBorder="1" applyAlignment="1">
      <alignment horizontal="center" wrapText="1"/>
    </xf>
    <xf numFmtId="0" fontId="8" fillId="0" borderId="97" xfId="0" applyFont="1" applyBorder="1" applyAlignment="1">
      <alignment horizontal="center" wrapText="1"/>
    </xf>
    <xf numFmtId="0" fontId="305" fillId="0" borderId="26" xfId="0" applyFont="1" applyFill="1" applyBorder="1" applyAlignment="1">
      <alignment horizontal="center" vertical="center" wrapText="1"/>
    </xf>
    <xf numFmtId="0" fontId="305" fillId="0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5" fillId="0" borderId="20" xfId="0" applyFont="1" applyFill="1" applyBorder="1" applyAlignment="1">
      <alignment horizontal="center" vertical="center" wrapText="1"/>
    </xf>
    <xf numFmtId="0" fontId="305" fillId="0" borderId="30" xfId="0" applyFont="1" applyFill="1" applyBorder="1" applyAlignment="1">
      <alignment horizontal="center" vertical="center" wrapText="1"/>
    </xf>
    <xf numFmtId="0" fontId="301" fillId="0" borderId="57" xfId="0" applyFont="1" applyFill="1" applyBorder="1" applyAlignment="1">
      <alignment horizontal="center" vertical="center" wrapText="1"/>
    </xf>
    <xf numFmtId="0" fontId="301" fillId="0" borderId="0" xfId="0" applyFont="1" applyFill="1" applyBorder="1" applyAlignment="1">
      <alignment horizontal="center" vertical="center" wrapText="1"/>
    </xf>
    <xf numFmtId="0" fontId="302" fillId="0" borderId="0" xfId="0" applyFont="1" applyFill="1" applyBorder="1" applyAlignment="1">
      <alignment horizontal="left" vertical="center" wrapText="1"/>
    </xf>
    <xf numFmtId="2" fontId="36" fillId="0" borderId="15" xfId="0" applyNumberFormat="1" applyFont="1" applyBorder="1" applyAlignment="1">
      <alignment horizontal="center" vertical="center" wrapText="1"/>
    </xf>
    <xf numFmtId="2" fontId="36" fillId="0" borderId="29" xfId="0" applyNumberFormat="1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2" fontId="37" fillId="0" borderId="29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3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36" fillId="0" borderId="20" xfId="0" applyNumberFormat="1" applyFont="1" applyBorder="1" applyAlignment="1">
      <alignment horizontal="center" vertical="center" wrapText="1"/>
    </xf>
    <xf numFmtId="2" fontId="30" fillId="0" borderId="26" xfId="0" applyNumberFormat="1" applyFont="1" applyBorder="1" applyAlignment="1">
      <alignment horizontal="center" vertical="center" wrapText="1"/>
    </xf>
    <xf numFmtId="2" fontId="30" fillId="0" borderId="25" xfId="0" applyNumberFormat="1" applyFont="1" applyBorder="1" applyAlignment="1">
      <alignment horizontal="center" vertical="center" wrapText="1"/>
    </xf>
    <xf numFmtId="0" fontId="239" fillId="0" borderId="64" xfId="10755" applyFont="1" applyBorder="1" applyAlignment="1">
      <alignment horizontal="center" vertical="center" wrapText="1"/>
    </xf>
    <xf numFmtId="0" fontId="239" fillId="0" borderId="63" xfId="10755" applyFont="1" applyBorder="1" applyAlignment="1">
      <alignment horizontal="center" vertical="center" wrapText="1"/>
    </xf>
    <xf numFmtId="0" fontId="239" fillId="0" borderId="65" xfId="10755" applyFont="1" applyBorder="1" applyAlignment="1">
      <alignment horizontal="center" vertical="center" wrapText="1"/>
    </xf>
    <xf numFmtId="0" fontId="239" fillId="0" borderId="74" xfId="10755" applyFont="1" applyBorder="1" applyAlignment="1">
      <alignment horizontal="center" vertical="center" wrapText="1"/>
    </xf>
    <xf numFmtId="0" fontId="239" fillId="0" borderId="0" xfId="10755" applyFont="1" applyBorder="1" applyAlignment="1">
      <alignment horizontal="center" vertical="center" wrapText="1"/>
    </xf>
    <xf numFmtId="0" fontId="239" fillId="0" borderId="75" xfId="10755" applyFont="1" applyBorder="1" applyAlignment="1">
      <alignment horizontal="center" vertical="center" wrapText="1"/>
    </xf>
    <xf numFmtId="0" fontId="239" fillId="0" borderId="69" xfId="10755" applyFont="1" applyBorder="1" applyAlignment="1">
      <alignment vertical="center" wrapText="1"/>
    </xf>
    <xf numFmtId="0" fontId="239" fillId="0" borderId="73" xfId="10755" applyFont="1" applyBorder="1" applyAlignment="1">
      <alignment vertical="center" wrapText="1"/>
    </xf>
    <xf numFmtId="0" fontId="239" fillId="0" borderId="70" xfId="10755" applyFont="1" applyBorder="1" applyAlignment="1">
      <alignment horizontal="center" vertical="center" wrapText="1"/>
    </xf>
    <xf numFmtId="0" fontId="239" fillId="0" borderId="71" xfId="10755" applyFont="1" applyBorder="1" applyAlignment="1">
      <alignment horizontal="center" vertical="center" wrapText="1"/>
    </xf>
    <xf numFmtId="0" fontId="239" fillId="0" borderId="72" xfId="10755" applyFont="1" applyBorder="1" applyAlignment="1">
      <alignment horizontal="center" vertical="center" wrapText="1"/>
    </xf>
    <xf numFmtId="4" fontId="82" fillId="144" borderId="57" xfId="10755" applyNumberFormat="1" applyFill="1" applyBorder="1" applyAlignment="1">
      <alignment horizontal="center"/>
    </xf>
    <xf numFmtId="4" fontId="249" fillId="0" borderId="0" xfId="10755" applyNumberFormat="1" applyFont="1" applyFill="1" applyBorder="1" applyAlignment="1">
      <alignment horizontal="center" vertical="center"/>
    </xf>
    <xf numFmtId="0" fontId="246" fillId="0" borderId="0" xfId="10755" applyFont="1" applyAlignment="1">
      <alignment horizontal="center" vertical="center"/>
    </xf>
    <xf numFmtId="0" fontId="249" fillId="0" borderId="15" xfId="10755" applyFont="1" applyBorder="1" applyAlignment="1">
      <alignment horizontal="center" vertical="center" wrapText="1"/>
    </xf>
    <xf numFmtId="3" fontId="250" fillId="0" borderId="15" xfId="10755" applyNumberFormat="1" applyFont="1" applyBorder="1" applyAlignment="1">
      <alignment horizontal="center" vertical="center"/>
    </xf>
    <xf numFmtId="0" fontId="265" fillId="149" borderId="62" xfId="0" applyFont="1" applyFill="1" applyBorder="1" applyAlignment="1">
      <alignment horizontal="center" vertical="center" wrapText="1"/>
    </xf>
    <xf numFmtId="0" fontId="265" fillId="149" borderId="79" xfId="0" applyFont="1" applyFill="1" applyBorder="1" applyAlignment="1">
      <alignment horizontal="center" vertical="center" wrapText="1"/>
    </xf>
    <xf numFmtId="0" fontId="262" fillId="0" borderId="90" xfId="0" applyFont="1" applyBorder="1" applyAlignment="1">
      <alignment horizontal="center" vertical="center" wrapText="1"/>
    </xf>
    <xf numFmtId="0" fontId="265" fillId="150" borderId="62" xfId="0" applyFont="1" applyFill="1" applyBorder="1" applyAlignment="1">
      <alignment horizontal="center" vertical="center" wrapText="1"/>
    </xf>
    <xf numFmtId="0" fontId="265" fillId="150" borderId="16" xfId="0" applyFont="1" applyFill="1" applyBorder="1" applyAlignment="1">
      <alignment horizontal="center" vertical="center" wrapText="1"/>
    </xf>
    <xf numFmtId="0" fontId="242" fillId="0" borderId="28" xfId="0" applyFont="1" applyBorder="1" applyAlignment="1">
      <alignment horizontal="center"/>
    </xf>
    <xf numFmtId="0" fontId="241" fillId="0" borderId="0" xfId="0" applyFont="1" applyAlignment="1">
      <alignment horizontal="left" vertical="top" wrapText="1"/>
    </xf>
    <xf numFmtId="0" fontId="241" fillId="0" borderId="0" xfId="0" applyFont="1" applyAlignment="1">
      <alignment horizontal="left" vertical="top"/>
    </xf>
    <xf numFmtId="0" fontId="232" fillId="0" borderId="15" xfId="0" applyFont="1" applyBorder="1" applyAlignment="1">
      <alignment horizontal="center"/>
    </xf>
    <xf numFmtId="0" fontId="242" fillId="0" borderId="0" xfId="0" applyFont="1" applyAlignment="1">
      <alignment horizontal="center"/>
    </xf>
    <xf numFmtId="0" fontId="241" fillId="0" borderId="13" xfId="0" applyFont="1" applyBorder="1" applyAlignment="1">
      <alignment horizontal="center"/>
    </xf>
    <xf numFmtId="0" fontId="241" fillId="0" borderId="12" xfId="0" applyFont="1" applyBorder="1" applyAlignment="1">
      <alignment horizontal="center"/>
    </xf>
    <xf numFmtId="0" fontId="241" fillId="0" borderId="64" xfId="0" applyFont="1" applyBorder="1" applyAlignment="1">
      <alignment horizontal="center"/>
    </xf>
    <xf numFmtId="0" fontId="241" fillId="0" borderId="65" xfId="0" applyFont="1" applyBorder="1" applyAlignment="1">
      <alignment horizontal="center"/>
    </xf>
    <xf numFmtId="0" fontId="241" fillId="0" borderId="63" xfId="0" applyFont="1" applyBorder="1" applyAlignment="1">
      <alignment horizontal="center"/>
    </xf>
    <xf numFmtId="0" fontId="241" fillId="0" borderId="87" xfId="0" applyFont="1" applyBorder="1" applyAlignment="1">
      <alignment horizontal="center"/>
    </xf>
    <xf numFmtId="0" fontId="241" fillId="0" borderId="90" xfId="0" applyFont="1" applyBorder="1" applyAlignment="1">
      <alignment horizontal="center"/>
    </xf>
    <xf numFmtId="0" fontId="241" fillId="0" borderId="69" xfId="0" applyFont="1" applyBorder="1" applyAlignment="1">
      <alignment horizontal="center" vertical="center" wrapText="1"/>
    </xf>
    <xf numFmtId="0" fontId="241" fillId="0" borderId="89" xfId="0" applyFont="1" applyBorder="1" applyAlignment="1">
      <alignment horizontal="center" vertical="center" wrapText="1"/>
    </xf>
    <xf numFmtId="0" fontId="6" fillId="56" borderId="119" xfId="0" applyNumberFormat="1" applyFont="1" applyFill="1" applyBorder="1" applyAlignment="1" applyProtection="1">
      <alignment horizontal="center" vertical="center" wrapText="1"/>
    </xf>
    <xf numFmtId="0" fontId="6" fillId="56" borderId="119" xfId="0" applyFont="1" applyFill="1" applyBorder="1" applyAlignment="1" applyProtection="1">
      <alignment horizontal="center" vertical="center" wrapText="1"/>
    </xf>
    <xf numFmtId="0" fontId="322" fillId="56" borderId="48" xfId="0" applyNumberFormat="1" applyFont="1" applyFill="1" applyBorder="1" applyAlignment="1" applyProtection="1">
      <alignment horizontal="center" vertical="center" wrapText="1"/>
    </xf>
    <xf numFmtId="0" fontId="322" fillId="56" borderId="48" xfId="0" applyFont="1" applyFill="1" applyBorder="1" applyAlignment="1" applyProtection="1">
      <alignment horizontal="center" vertical="center" wrapText="1"/>
    </xf>
    <xf numFmtId="0" fontId="78" fillId="0" borderId="116" xfId="0" applyNumberFormat="1" applyFont="1" applyFill="1" applyBorder="1" applyAlignment="1" applyProtection="1">
      <alignment horizontal="left" vertical="center" wrapText="1" indent="4"/>
    </xf>
    <xf numFmtId="0" fontId="78" fillId="0" borderId="117" xfId="0" applyNumberFormat="1" applyFont="1" applyFill="1" applyBorder="1" applyAlignment="1" applyProtection="1">
      <alignment horizontal="left" vertical="center" wrapText="1" indent="4"/>
    </xf>
    <xf numFmtId="0" fontId="6" fillId="43" borderId="116" xfId="0" applyFont="1" applyFill="1" applyBorder="1" applyAlignment="1" applyProtection="1">
      <alignment horizontal="center" vertical="center" wrapText="1"/>
    </xf>
    <xf numFmtId="0" fontId="6" fillId="43" borderId="48" xfId="0" applyFont="1" applyFill="1" applyBorder="1" applyAlignment="1" applyProtection="1">
      <alignment horizontal="center" vertical="center" wrapText="1"/>
    </xf>
    <xf numFmtId="0" fontId="6" fillId="43" borderId="117" xfId="0" applyNumberFormat="1" applyFont="1" applyFill="1" applyBorder="1" applyAlignment="1" applyProtection="1">
      <alignment horizontal="center" vertical="center" wrapText="1"/>
    </xf>
    <xf numFmtId="0" fontId="6" fillId="43" borderId="120" xfId="0" applyNumberFormat="1" applyFont="1" applyFill="1" applyBorder="1" applyAlignment="1" applyProtection="1">
      <alignment horizontal="center" vertical="center" wrapText="1"/>
    </xf>
    <xf numFmtId="0" fontId="316" fillId="0" borderId="121" xfId="0" applyFont="1" applyBorder="1" applyAlignment="1" applyProtection="1">
      <alignment horizontal="center" vertical="center" wrapText="1"/>
    </xf>
    <xf numFmtId="49" fontId="6" fillId="43" borderId="48" xfId="0" applyNumberFormat="1" applyFont="1" applyFill="1" applyBorder="1" applyAlignment="1" applyProtection="1">
      <alignment horizontal="center" vertical="center" wrapText="1"/>
    </xf>
    <xf numFmtId="164" fontId="6" fillId="43" borderId="48" xfId="0" applyNumberFormat="1" applyFont="1" applyFill="1" applyBorder="1" applyAlignment="1" applyProtection="1">
      <alignment horizontal="center" vertical="center" wrapText="1"/>
    </xf>
    <xf numFmtId="164" fontId="320" fillId="43" borderId="116" xfId="0" applyNumberFormat="1" applyFont="1" applyFill="1" applyBorder="1" applyAlignment="1" applyProtection="1">
      <alignment horizontal="center" vertical="center" wrapText="1"/>
    </xf>
    <xf numFmtId="164" fontId="320" fillId="43" borderId="48" xfId="0" applyNumberFormat="1" applyFont="1" applyFill="1" applyBorder="1" applyAlignment="1" applyProtection="1">
      <alignment horizontal="center" vertical="center" wrapText="1"/>
    </xf>
    <xf numFmtId="164" fontId="320" fillId="43" borderId="118" xfId="0" applyNumberFormat="1" applyFont="1" applyFill="1" applyBorder="1" applyAlignment="1" applyProtection="1">
      <alignment horizontal="center" vertical="center" wrapText="1"/>
    </xf>
    <xf numFmtId="164" fontId="320" fillId="43" borderId="119" xfId="0" applyNumberFormat="1" applyFont="1" applyFill="1" applyBorder="1" applyAlignment="1" applyProtection="1">
      <alignment horizontal="center" vertical="center" wrapText="1"/>
    </xf>
    <xf numFmtId="0" fontId="6" fillId="43" borderId="119" xfId="0" applyNumberFormat="1" applyFont="1" applyFill="1" applyBorder="1" applyAlignment="1" applyProtection="1">
      <alignment horizontal="center" vertical="center" wrapText="1"/>
    </xf>
    <xf numFmtId="0" fontId="6" fillId="56" borderId="48" xfId="0" applyNumberFormat="1" applyFont="1" applyFill="1" applyBorder="1" applyAlignment="1" applyProtection="1">
      <alignment horizontal="center" vertical="center" wrapText="1"/>
    </xf>
    <xf numFmtId="0" fontId="6" fillId="56" borderId="48" xfId="0" applyFont="1" applyFill="1" applyBorder="1" applyAlignment="1" applyProtection="1">
      <alignment horizontal="center" vertical="center" wrapText="1"/>
    </xf>
  </cellXfs>
  <cellStyles count="16858">
    <cellStyle name=" 1" xfId="4"/>
    <cellStyle name=" 1 2" xfId="5"/>
    <cellStyle name=" 1_Stage1" xfId="6"/>
    <cellStyle name="_x000a_bidires=100_x000d_" xfId="7"/>
    <cellStyle name="%" xfId="8"/>
    <cellStyle name="% 2" xfId="9"/>
    <cellStyle name="% 3" xfId="10"/>
    <cellStyle name="% 4" xfId="11"/>
    <cellStyle name="% 5" xfId="12"/>
    <cellStyle name="%_~0042442" xfId="13"/>
    <cellStyle name="%_~1446596" xfId="14"/>
    <cellStyle name="%_~8631322" xfId="15"/>
    <cellStyle name="%_Inputs" xfId="16"/>
    <cellStyle name="%_Inputs (const)" xfId="17"/>
    <cellStyle name="%_Inputs Co" xfId="18"/>
    <cellStyle name="%_OREP.SZPR.2012.NCZ(v1.0)" xfId="19"/>
    <cellStyle name="%_БДДС для утверждения" xfId="20"/>
    <cellStyle name="%_БДДС от 29 янв 2010" xfId="21"/>
    <cellStyle name="%_БДР" xfId="22"/>
    <cellStyle name="%_БКВ" xfId="23"/>
    <cellStyle name="%_Виды капитальных работ" xfId="24"/>
    <cellStyle name="%_Виды начисл.ФОТ" xfId="25"/>
    <cellStyle name="%_Виды ОС" xfId="26"/>
    <cellStyle name="%_Виды топлива" xfId="27"/>
    <cellStyle name="%_замечания ООТЗиШ к справочникам" xfId="28"/>
    <cellStyle name="%_замечания ООТЗиШ к справочнику коэф планирования ФОТ 01.02.10" xfId="29"/>
    <cellStyle name="%_Книга1" xfId="30"/>
    <cellStyle name="%_Книга2" xfId="31"/>
    <cellStyle name="%_на согласование справочники общие с бухгалтерами" xfId="32"/>
    <cellStyle name="%_подразделения" xfId="33"/>
    <cellStyle name="%_подразделения СПБ" xfId="34"/>
    <cellStyle name="%_Показатели портовых сборов" xfId="35"/>
    <cellStyle name="%_Показатели портовых сборов_~0042442" xfId="36"/>
    <cellStyle name="%_Показатели портовых сборов_БДР" xfId="37"/>
    <cellStyle name="%_Показатели портовых сборов_Виды капитальных работ" xfId="38"/>
    <cellStyle name="%_Показатели портовых сборов_Виды начисл.ФОТ" xfId="39"/>
    <cellStyle name="%_Показатели портовых сборов_Виды ОС" xfId="40"/>
    <cellStyle name="%_Показатели портовых сборов_Виды топлива" xfId="41"/>
    <cellStyle name="%_Показатели портовых сборов_Фактические коэф.планир.ФОТ" xfId="42"/>
    <cellStyle name="%_Показатели портовых сборов_Числ. по персон." xfId="43"/>
    <cellStyle name="%_Показатели портовых сборов_Шаблоны справочников контура Бюджетирования_v5" xfId="44"/>
    <cellStyle name="%_Приложение ..." xfId="45"/>
    <cellStyle name="%_Приложение 1 Справочники" xfId="46"/>
    <cellStyle name="%_Приложение 1 Справочники v.2" xfId="47"/>
    <cellStyle name="%_ремонт" xfId="48"/>
    <cellStyle name="%_Справочник Двигатели и механизмы питер" xfId="49"/>
    <cellStyle name="%_справочник Показатели портовых сборов 25.01.10" xfId="50"/>
    <cellStyle name="%_справочники Виды ОС, страхование, кап работ, фот" xfId="51"/>
    <cellStyle name="%_справочники фот" xfId="52"/>
    <cellStyle name="%_статьи БДР" xfId="53"/>
    <cellStyle name="%_Фактические коэф.планир.ФОТ" xfId="54"/>
    <cellStyle name="%_Числ. по персон." xfId="55"/>
    <cellStyle name="%_Шаблоны справочников контура Бюджетирования_v5" xfId="56"/>
    <cellStyle name="%_Шаблоны справочников контура Бюджетирования_v6" xfId="57"/>
    <cellStyle name="%_Шаблоны справочников контура Бюджетирования_v7" xfId="58"/>
    <cellStyle name=", yyyy" xfId="59"/>
    <cellStyle name="?…?ж?Ш?и [0.00]" xfId="60"/>
    <cellStyle name="?W??_‘O’с?р??" xfId="61"/>
    <cellStyle name="]_x000d__x000a_Zoomed=1_x000d__x000a_Row=0_x000d__x000a_Column=0_x000d__x000a_Height=0_x000d__x000a_Width=0_x000d__x000a_FontName=FoxFont_x000d__x000a_FontStyle=0_x000d__x000a_FontSize=9_x000d__x000a_PrtFontName=FoxPrin" xfId="62"/>
    <cellStyle name="_~6099726" xfId="63"/>
    <cellStyle name="_01_Инструкции к формам МРГ" xfId="64"/>
    <cellStyle name="_4. Бюджетные формы ОАО ГПРГ" xfId="65"/>
    <cellStyle name="_analiz 3 м 2008г " xfId="66"/>
    <cellStyle name="_Business_Case_Казначейчтво" xfId="67"/>
    <cellStyle name="_CashFlow_2007_проект_02_02_final" xfId="68"/>
    <cellStyle name="_FFF" xfId="69"/>
    <cellStyle name="_FFF_New Form10_2" xfId="70"/>
    <cellStyle name="_FFF_Nsi" xfId="71"/>
    <cellStyle name="_FFF_Nsi_1" xfId="72"/>
    <cellStyle name="_FFF_Nsi_139" xfId="73"/>
    <cellStyle name="_FFF_Nsi_140" xfId="74"/>
    <cellStyle name="_FFF_Nsi_140(Зах)" xfId="75"/>
    <cellStyle name="_FFF_Nsi_140_mod" xfId="76"/>
    <cellStyle name="_FFF_Summary" xfId="77"/>
    <cellStyle name="_FFF_Tax_form_1кв_3" xfId="78"/>
    <cellStyle name="_FFF_БКЭ" xfId="79"/>
    <cellStyle name="_Final_Book_010301" xfId="80"/>
    <cellStyle name="_Final_Book_010301_New Form10_2" xfId="81"/>
    <cellStyle name="_Final_Book_010301_Nsi" xfId="82"/>
    <cellStyle name="_Final_Book_010301_Nsi_1" xfId="83"/>
    <cellStyle name="_Final_Book_010301_Nsi_139" xfId="84"/>
    <cellStyle name="_Final_Book_010301_Nsi_140" xfId="85"/>
    <cellStyle name="_Final_Book_010301_Nsi_140(Зах)" xfId="86"/>
    <cellStyle name="_Final_Book_010301_Nsi_140_mod" xfId="87"/>
    <cellStyle name="_Final_Book_010301_Summary" xfId="88"/>
    <cellStyle name="_Final_Book_010301_Tax_form_1кв_3" xfId="89"/>
    <cellStyle name="_Final_Book_010301_БКЭ" xfId="90"/>
    <cellStyle name="_Model_RAB Мой" xfId="91"/>
    <cellStyle name="_Model_RAB Мой 2" xfId="92"/>
    <cellStyle name="_Model_RAB Мой 2_CALC.VS.2013.PLAN(v1.0) (2)" xfId="93"/>
    <cellStyle name="_Model_RAB Мой 2_OREP.KU.2011.MONTHLY.02(v0.1)" xfId="94"/>
    <cellStyle name="_Model_RAB Мой 2_OREP.KU.2011.MONTHLY.02(v0.1)_OREP.SZPR.2012.NCZ(v1.0)" xfId="95"/>
    <cellStyle name="_Model_RAB Мой 2_OREP.KU.2011.MONTHLY.02(v0.4)" xfId="96"/>
    <cellStyle name="_Model_RAB Мой 2_OREP.KU.2011.MONTHLY.02(v0.4)_OREP.SZPR.2012.NCZ(v1.0)" xfId="97"/>
    <cellStyle name="_Model_RAB Мой 2_OREP.KU.2011.MONTHLY.11(v1.4)" xfId="98"/>
    <cellStyle name="_Model_RAB Мой 2_OREP.KU.2011.MONTHLY.11(v1.4)_OREP.SZPR.2012.NCZ(v1.0)" xfId="99"/>
    <cellStyle name="_Model_RAB Мой 2_OREP.KU.2011.MONTHLY.11(v1.4)_UPDATE.BALANCE.WARM.2012YEAR.TO.1.1" xfId="100"/>
    <cellStyle name="_Model_RAB Мой 2_OREP.SZPR.2012.NCZ(v1.0)" xfId="101"/>
    <cellStyle name="_Model_RAB Мой 2_PORT.PRICE(v0.3)" xfId="102"/>
    <cellStyle name="_Model_RAB Мой 2_UPDATE.BALANCE.WARM.2012YEAR.TO.1.1" xfId="103"/>
    <cellStyle name="_Model_RAB Мой 2_UPDATE.OREP.KU.2011.MONTHLY.02.TO.1.2" xfId="104"/>
    <cellStyle name="_Model_RAB Мой 2_UPDATE.OREP.KU.2011.MONTHLY.02.TO.1.2_OREP.SZPR.2012.NCZ(v1.0)" xfId="105"/>
    <cellStyle name="_Model_RAB Мой_46EE.2011(v1.0)" xfId="106"/>
    <cellStyle name="_Model_RAB Мой_46EE.2011(v1.0)_46TE.2011(v1.0)" xfId="107"/>
    <cellStyle name="_Model_RAB Мой_46EE.2011(v1.0)_INDEX.STATION.2012(v1.0)_" xfId="108"/>
    <cellStyle name="_Model_RAB Мой_46EE.2011(v1.0)_INDEX.STATION.2012(v1.0)__OREP.SZPR.2012.NCZ(v1.0)" xfId="109"/>
    <cellStyle name="_Model_RAB Мой_46EE.2011(v1.0)_INDEX.STATION.2012(v2.0)" xfId="110"/>
    <cellStyle name="_Model_RAB Мой_46EE.2011(v1.0)_INDEX.STATION.2012(v2.0)_OREP.SZPR.2012.NCZ(v1.0)" xfId="111"/>
    <cellStyle name="_Model_RAB Мой_46EE.2011(v1.0)_INDEX.STATION.2012(v2.1)" xfId="112"/>
    <cellStyle name="_Model_RAB Мой_46EE.2011(v1.0)_OREP.SZPR.2012.NCZ(v1.0)" xfId="113"/>
    <cellStyle name="_Model_RAB Мой_46EE.2011(v1.0)_TEPLO.PREDEL.2012.M(v1.1)_test" xfId="114"/>
    <cellStyle name="_Model_RAB Мой_46EE.2011(v1.2)" xfId="115"/>
    <cellStyle name="_Model_RAB Мой_46EE.2011(v1.2)_FORM5.2012(v1.0)" xfId="116"/>
    <cellStyle name="_Model_RAB Мой_46EE.2011(v1.2)_OREP.INV.GEN.G(v1.0)" xfId="117"/>
    <cellStyle name="_Model_RAB Мой_46EE.2011(v1.2)_OREP.SZPR.2012.NCZ(v1.0)" xfId="118"/>
    <cellStyle name="_Model_RAB Мой_46EP.2011(v2.0)" xfId="119"/>
    <cellStyle name="_Model_RAB Мой_46EP.2012(v0.1)" xfId="120"/>
    <cellStyle name="_Model_RAB Мой_46TE.2011(v1.0)" xfId="121"/>
    <cellStyle name="_Model_RAB Мой_4DNS.UPDATE.EXAMPLE" xfId="122"/>
    <cellStyle name="_Model_RAB Мой_ARMRAZR" xfId="123"/>
    <cellStyle name="_Model_RAB Мой_ARMRAZR_OREP.SZPR.2012.NCZ(v1.0)" xfId="124"/>
    <cellStyle name="_Model_RAB Мой_BALANCE.WARM.2010.FACT(v1.0)" xfId="125"/>
    <cellStyle name="_Model_RAB Мой_BALANCE.WARM.2010.FACT(v1.0)_OREP.SZPR.2012.NCZ(v1.0)" xfId="126"/>
    <cellStyle name="_Model_RAB Мой_BALANCE.WARM.2010.PLAN" xfId="127"/>
    <cellStyle name="_Model_RAB Мой_BALANCE.WARM.2010.PLAN_FORM5.2012(v1.0)" xfId="128"/>
    <cellStyle name="_Model_RAB Мой_BALANCE.WARM.2010.PLAN_OREP.INV.GEN.G(v1.0)" xfId="129"/>
    <cellStyle name="_Model_RAB Мой_BALANCE.WARM.2010.PLAN_OREP.SZPR.2012.NCZ(v1.0)" xfId="130"/>
    <cellStyle name="_Model_RAB Мой_BALANCE.WARM.2011YEAR(v0.7)" xfId="131"/>
    <cellStyle name="_Model_RAB Мой_BALANCE.WARM.2011YEAR(v0.7)_FORM5.2012(v1.0)" xfId="132"/>
    <cellStyle name="_Model_RAB Мой_BALANCE.WARM.2011YEAR(v0.7)_OREP.INV.GEN.G(v1.0)" xfId="133"/>
    <cellStyle name="_Model_RAB Мой_BALANCE.WARM.2011YEAR(v0.7)_OREP.SZPR.2012.NCZ(v1.0)" xfId="134"/>
    <cellStyle name="_Model_RAB Мой_BALANCE.WARM.2011YEAR.NEW.UPDATE.SCHEME" xfId="135"/>
    <cellStyle name="_Model_RAB Мой_BALANCE.WARM.2011YEAR.NEW.UPDATE.SCHEME_OREP.SZPR.2012.NCZ(v1.0)" xfId="136"/>
    <cellStyle name="_Model_RAB Мой_CALC.NORMATIV.KU(v0.2)" xfId="137"/>
    <cellStyle name="_Model_RAB Мой_CALC.VS.2013.PLAN(v1.0) (2)" xfId="138"/>
    <cellStyle name="_Model_RAB Мой_EE.2REK.P2011.4.78(v0.3)" xfId="139"/>
    <cellStyle name="_Model_RAB Мой_EE.2REK.P2011.4.78(v0.3)_OREP.SZPR.2012.NCZ(v1.0)" xfId="140"/>
    <cellStyle name="_Model_RAB Мой_FORM3.1.2013(v0.2)" xfId="141"/>
    <cellStyle name="_Model_RAB Мой_FORM3.2013(v1.0)" xfId="142"/>
    <cellStyle name="_Model_RAB Мой_FORM3.REG(v1.0)" xfId="143"/>
    <cellStyle name="_Model_RAB Мой_FORM910.2012(v0.5)" xfId="144"/>
    <cellStyle name="_Model_RAB Мой_FORM910.2012(v0.5)_FORM5.2012(v1.0)" xfId="145"/>
    <cellStyle name="_Model_RAB Мой_FORM910.2012(v1.1)" xfId="146"/>
    <cellStyle name="_Model_RAB Мой_FORM910.2012(v1.1)_OREP.SZPR.2012.NCZ(v1.0)" xfId="147"/>
    <cellStyle name="_Model_RAB Мой_FORMA23-N.ENRG.2011 (v0.1)" xfId="148"/>
    <cellStyle name="_Model_RAB Мой_FORMA23-N.ENRG.2011 (v0.1)_OREP.SZPR.2012.NCZ(v1.0)" xfId="149"/>
    <cellStyle name="_Model_RAB Мой_INVEST.EE.PLAN.4.78(v0.1)" xfId="150"/>
    <cellStyle name="_Model_RAB Мой_INVEST.EE.PLAN.4.78(v0.1)_OREP.SZPR.2012.NCZ(v1.0)" xfId="151"/>
    <cellStyle name="_Model_RAB Мой_INVEST.EE.PLAN.4.78(v0.3)" xfId="152"/>
    <cellStyle name="_Model_RAB Мой_INVEST.EE.PLAN.4.78(v0.3)_OREP.SZPR.2012.NCZ(v1.0)" xfId="153"/>
    <cellStyle name="_Model_RAB Мой_INVEST.EE.PLAN.4.78(v1.0)" xfId="154"/>
    <cellStyle name="_Model_RAB Мой_INVEST.EE.PLAN.4.78(v1.0)_FORM11.2013" xfId="155"/>
    <cellStyle name="_Model_RAB Мой_INVEST.EE.PLAN.4.78(v1.0)_OREP.SZPR.2012.NCZ(v1.0)" xfId="156"/>
    <cellStyle name="_Model_RAB Мой_INVEST.EE.PLAN.4.78(v1.0)_PASSPORT.TEPLO.PROIZV(v2.0)" xfId="157"/>
    <cellStyle name="_Model_RAB Мой_INVEST.EE.PLAN.4.78(v1.0)_PASSPORT.TEPLO.PROIZV(v2.0)_MWT.POTERI.SETI.2012(v0.1)" xfId="158"/>
    <cellStyle name="_Model_RAB Мой_INVEST.EE.PLAN.4.78(v1.0)_PASSPORT.TEPLO.PROIZV(v2.0)_PASSPORT.TEPLO.SETI(v2.0f)" xfId="159"/>
    <cellStyle name="_Model_RAB Мой_INVEST.EE.PLAN.4.78(v1.0)_PASSPORT.TEPLO.PROIZV(v2.0)_PASSPORT.TEPLO.SETI(v2.0f)_UPDATE.PASSPORT.TEPLO.PROIZV.TO.3.1" xfId="160"/>
    <cellStyle name="_Model_RAB Мой_INVEST.EE.PLAN.4.78(v1.0)_PASSPORT.TEPLO.SETI(v2.0f)" xfId="161"/>
    <cellStyle name="_Model_RAB Мой_INVEST.EE.PLAN.4.78(v1.0)_UPDATE.PASSPORT.TEPLO.PROIZV.TO.3.1" xfId="162"/>
    <cellStyle name="_Model_RAB Мой_INVEST.PLAN.4.78(v0.1)" xfId="163"/>
    <cellStyle name="_Model_RAB Мой_INVEST.PLAN.4.78(v0.1)_OREP.SZPR.2012.NCZ(v1.0)" xfId="164"/>
    <cellStyle name="_Model_RAB Мой_INVEST.WARM.PLAN.4.78(v0.1)" xfId="165"/>
    <cellStyle name="_Model_RAB Мой_INVEST.WARM.PLAN.4.78(v0.1)_OREP.SZPR.2012.NCZ(v1.0)" xfId="166"/>
    <cellStyle name="_Model_RAB Мой_INVEST_WARM_PLAN" xfId="167"/>
    <cellStyle name="_Model_RAB Мой_INVEST_WARM_PLAN_OREP.SZPR.2012.NCZ(v1.0)" xfId="168"/>
    <cellStyle name="_Model_RAB Мой_NADB.JNVLP.APTEKA.2012(v1.0)_21_02_12" xfId="169"/>
    <cellStyle name="_Model_RAB Мой_NADB.JNVLS.APTEKA.2011(v1.3.3)" xfId="170"/>
    <cellStyle name="_Model_RAB Мой_NADB.JNVLS.APTEKA.2011(v1.3.3)_46TE.2011(v1.0)" xfId="171"/>
    <cellStyle name="_Model_RAB Мой_NADB.JNVLS.APTEKA.2011(v1.3.3)_INDEX.STATION.2012(v1.0)_" xfId="172"/>
    <cellStyle name="_Model_RAB Мой_NADB.JNVLS.APTEKA.2011(v1.3.3)_INDEX.STATION.2012(v1.0)__OREP.SZPR.2012.NCZ(v1.0)" xfId="173"/>
    <cellStyle name="_Model_RAB Мой_NADB.JNVLS.APTEKA.2011(v1.3.3)_INDEX.STATION.2012(v2.0)" xfId="174"/>
    <cellStyle name="_Model_RAB Мой_NADB.JNVLS.APTEKA.2011(v1.3.3)_INDEX.STATION.2012(v2.0)_OREP.SZPR.2012.NCZ(v1.0)" xfId="175"/>
    <cellStyle name="_Model_RAB Мой_NADB.JNVLS.APTEKA.2011(v1.3.3)_INDEX.STATION.2012(v2.1)" xfId="176"/>
    <cellStyle name="_Model_RAB Мой_NADB.JNVLS.APTEKA.2011(v1.3.3)_OREP.SZPR.2012.NCZ(v1.0)" xfId="177"/>
    <cellStyle name="_Model_RAB Мой_NADB.JNVLS.APTEKA.2011(v1.3.3)_TEPLO.PREDEL.2012.M(v1.1)_test" xfId="178"/>
    <cellStyle name="_Model_RAB Мой_NADB.JNVLS.APTEKA.2011(v1.3.4)" xfId="179"/>
    <cellStyle name="_Model_RAB Мой_NADB.JNVLS.APTEKA.2011(v1.3.4)_46TE.2011(v1.0)" xfId="180"/>
    <cellStyle name="_Model_RAB Мой_NADB.JNVLS.APTEKA.2011(v1.3.4)_INDEX.STATION.2012(v1.0)_" xfId="181"/>
    <cellStyle name="_Model_RAB Мой_NADB.JNVLS.APTEKA.2011(v1.3.4)_INDEX.STATION.2012(v1.0)__OREP.SZPR.2012.NCZ(v1.0)" xfId="182"/>
    <cellStyle name="_Model_RAB Мой_NADB.JNVLS.APTEKA.2011(v1.3.4)_INDEX.STATION.2012(v2.0)" xfId="183"/>
    <cellStyle name="_Model_RAB Мой_NADB.JNVLS.APTEKA.2011(v1.3.4)_INDEX.STATION.2012(v2.0)_OREP.SZPR.2012.NCZ(v1.0)" xfId="184"/>
    <cellStyle name="_Model_RAB Мой_NADB.JNVLS.APTEKA.2011(v1.3.4)_INDEX.STATION.2012(v2.1)" xfId="185"/>
    <cellStyle name="_Model_RAB Мой_NADB.JNVLS.APTEKA.2011(v1.3.4)_OREP.SZPR.2012.NCZ(v1.0)" xfId="186"/>
    <cellStyle name="_Model_RAB Мой_NADB.JNVLS.APTEKA.2011(v1.3.4)_TEPLO.PREDEL.2012.M(v1.1)_test" xfId="187"/>
    <cellStyle name="_Model_RAB Мой_OREP.SZPR.2012.NCZ(v1.0)" xfId="188"/>
    <cellStyle name="_Model_RAB Мой_PASSPORT.TEPLO.PROIZV(v2.0)" xfId="189"/>
    <cellStyle name="_Model_RAB Мой_PASSPORT.TEPLO.PROIZV(v2.0)_OREP.SZPR.2012.NCZ(v1.0)" xfId="190"/>
    <cellStyle name="_Model_RAB Мой_PASSPORT.TEPLO.PROIZV(v2.1)" xfId="191"/>
    <cellStyle name="_Model_RAB Мой_PASSPORT.TEPLO.SETI(v1.0)" xfId="192"/>
    <cellStyle name="_Model_RAB Мой_PORT.PRICE(v0.3)" xfId="193"/>
    <cellStyle name="_Model_RAB Мой_PR.PROG.WARM.NOTCOMBI.2012.2.16_v1.4(04.04.11) " xfId="194"/>
    <cellStyle name="_Model_RAB Мой_PREDEL.JKH.UTV.2011(v1.0.1)" xfId="195"/>
    <cellStyle name="_Model_RAB Мой_PREDEL.JKH.UTV.2011(v1.0.1)_46TE.2011(v1.0)" xfId="196"/>
    <cellStyle name="_Model_RAB Мой_PREDEL.JKH.UTV.2011(v1.0.1)_INDEX.STATION.2012(v1.0)_" xfId="197"/>
    <cellStyle name="_Model_RAB Мой_PREDEL.JKH.UTV.2011(v1.0.1)_INDEX.STATION.2012(v1.0)__OREP.SZPR.2012.NCZ(v1.0)" xfId="198"/>
    <cellStyle name="_Model_RAB Мой_PREDEL.JKH.UTV.2011(v1.0.1)_INDEX.STATION.2012(v2.0)" xfId="199"/>
    <cellStyle name="_Model_RAB Мой_PREDEL.JKH.UTV.2011(v1.0.1)_INDEX.STATION.2012(v2.0)_OREP.SZPR.2012.NCZ(v1.0)" xfId="200"/>
    <cellStyle name="_Model_RAB Мой_PREDEL.JKH.UTV.2011(v1.0.1)_INDEX.STATION.2012(v2.1)" xfId="201"/>
    <cellStyle name="_Model_RAB Мой_PREDEL.JKH.UTV.2011(v1.0.1)_OREP.SZPR.2012.NCZ(v1.0)" xfId="202"/>
    <cellStyle name="_Model_RAB Мой_PREDEL.JKH.UTV.2011(v1.0.1)_TEPLO.PREDEL.2012.M(v1.1)_test" xfId="203"/>
    <cellStyle name="_Model_RAB Мой_PREDEL.JKH.UTV.2011(v1.1)" xfId="204"/>
    <cellStyle name="_Model_RAB Мой_PREDEL.JKH.UTV.2011(v1.1)_FORM5.2012(v1.0)" xfId="205"/>
    <cellStyle name="_Model_RAB Мой_PREDEL.JKH.UTV.2011(v1.1)_OREP.INV.GEN.G(v1.0)" xfId="206"/>
    <cellStyle name="_Model_RAB Мой_PREDEL.JKH.UTV.2011(v1.1)_OREP.SZPR.2012.NCZ(v1.0)" xfId="207"/>
    <cellStyle name="_Model_RAB Мой_REP.BLR.2012(v1.0)" xfId="208"/>
    <cellStyle name="_Model_RAB Мой_TEHSHEET" xfId="209"/>
    <cellStyle name="_Model_RAB Мой_TEPLO.PREDEL.2012.M(v1.1)" xfId="210"/>
    <cellStyle name="_Model_RAB Мой_TEST.TEMPLATE" xfId="211"/>
    <cellStyle name="_Model_RAB Мой_TEST.TEMPLATE_OREP.SZPR.2012.NCZ(v1.0)" xfId="212"/>
    <cellStyle name="_Model_RAB Мой_UPDATE.46EE.2011.TO.1.1" xfId="213"/>
    <cellStyle name="_Model_RAB Мой_UPDATE.46EE.2011.TO.1.1_OREP.SZPR.2012.NCZ(v1.0)" xfId="214"/>
    <cellStyle name="_Model_RAB Мой_UPDATE.46TE.2011.TO.1.1" xfId="215"/>
    <cellStyle name="_Model_RAB Мой_UPDATE.46TE.2011.TO.1.2" xfId="216"/>
    <cellStyle name="_Model_RAB Мой_UPDATE.BALANCE.WARM.2011YEAR.TO.1.1" xfId="217"/>
    <cellStyle name="_Model_RAB Мой_UPDATE.BALANCE.WARM.2011YEAR.TO.1.1_46TE.2011(v1.0)" xfId="218"/>
    <cellStyle name="_Model_RAB Мой_UPDATE.BALANCE.WARM.2011YEAR.TO.1.1_INDEX.STATION.2012(v1.0)_" xfId="219"/>
    <cellStyle name="_Model_RAB Мой_UPDATE.BALANCE.WARM.2011YEAR.TO.1.1_INDEX.STATION.2012(v1.0)__OREP.SZPR.2012.NCZ(v1.0)" xfId="220"/>
    <cellStyle name="_Model_RAB Мой_UPDATE.BALANCE.WARM.2011YEAR.TO.1.1_INDEX.STATION.2012(v2.0)" xfId="221"/>
    <cellStyle name="_Model_RAB Мой_UPDATE.BALANCE.WARM.2011YEAR.TO.1.1_INDEX.STATION.2012(v2.0)_OREP.SZPR.2012.NCZ(v1.0)" xfId="222"/>
    <cellStyle name="_Model_RAB Мой_UPDATE.BALANCE.WARM.2011YEAR.TO.1.1_INDEX.STATION.2012(v2.1)" xfId="223"/>
    <cellStyle name="_Model_RAB Мой_UPDATE.BALANCE.WARM.2011YEAR.TO.1.1_OREP.KU.2011.MONTHLY.02(v1.1)" xfId="224"/>
    <cellStyle name="_Model_RAB Мой_UPDATE.BALANCE.WARM.2011YEAR.TO.1.1_OREP.KU.2011.MONTHLY.02(v1.1)_OREP.SZPR.2012.NCZ(v1.0)" xfId="225"/>
    <cellStyle name="_Model_RAB Мой_UPDATE.BALANCE.WARM.2011YEAR.TO.1.1_OREP.SZPR.2012.NCZ(v1.0)" xfId="226"/>
    <cellStyle name="_Model_RAB Мой_UPDATE.BALANCE.WARM.2011YEAR.TO.1.1_TEPLO.PREDEL.2012.M(v1.1)_test" xfId="227"/>
    <cellStyle name="_Model_RAB Мой_UPDATE.BALANCE.WARM.2011YEAR.TO.1.2" xfId="228"/>
    <cellStyle name="_Model_RAB Мой_UPDATE.BALANCE.WARM.2011YEAR.TO.1.4.64" xfId="229"/>
    <cellStyle name="_Model_RAB Мой_UPDATE.BALANCE.WARM.2011YEAR.TO.1.5.64" xfId="230"/>
    <cellStyle name="_Model_RAB Мой_UPDATE.NADB.JNVLS.APTEKA.2011.TO.1.3.4" xfId="231"/>
    <cellStyle name="_Model_RAB Мой_UPDATE.NADB.JNVLS.APTEKA.2011.TO.1.3.4_OREP.SZPR.2012.NCZ(v1.0)" xfId="232"/>
    <cellStyle name="_Model_RAB Мой_Книга2_PR.PROG.WARM.NOTCOMBI.2012.2.16_v1.4(04.04.11) " xfId="233"/>
    <cellStyle name="_Model_RAB_MRSK_svod" xfId="234"/>
    <cellStyle name="_Model_RAB_MRSK_svod 2" xfId="235"/>
    <cellStyle name="_Model_RAB_MRSK_svod 2_CALC.VS.2013.PLAN(v1.0) (2)" xfId="236"/>
    <cellStyle name="_Model_RAB_MRSK_svod 2_OREP.KU.2011.MONTHLY.02(v0.1)" xfId="237"/>
    <cellStyle name="_Model_RAB_MRSK_svod 2_OREP.KU.2011.MONTHLY.02(v0.1)_OREP.SZPR.2012.NCZ(v1.0)" xfId="238"/>
    <cellStyle name="_Model_RAB_MRSK_svod 2_OREP.KU.2011.MONTHLY.02(v0.4)" xfId="239"/>
    <cellStyle name="_Model_RAB_MRSK_svod 2_OREP.KU.2011.MONTHLY.02(v0.4)_OREP.SZPR.2012.NCZ(v1.0)" xfId="240"/>
    <cellStyle name="_Model_RAB_MRSK_svod 2_OREP.KU.2011.MONTHLY.11(v1.4)" xfId="241"/>
    <cellStyle name="_Model_RAB_MRSK_svod 2_OREP.KU.2011.MONTHLY.11(v1.4)_OREP.SZPR.2012.NCZ(v1.0)" xfId="242"/>
    <cellStyle name="_Model_RAB_MRSK_svod 2_OREP.KU.2011.MONTHLY.11(v1.4)_UPDATE.BALANCE.WARM.2012YEAR.TO.1.1" xfId="243"/>
    <cellStyle name="_Model_RAB_MRSK_svod 2_OREP.SZPR.2012.NCZ(v1.0)" xfId="244"/>
    <cellStyle name="_Model_RAB_MRSK_svod 2_PORT.PRICE(v0.3)" xfId="245"/>
    <cellStyle name="_Model_RAB_MRSK_svod 2_UPDATE.BALANCE.WARM.2012YEAR.TO.1.1" xfId="246"/>
    <cellStyle name="_Model_RAB_MRSK_svod 2_UPDATE.OREP.KU.2011.MONTHLY.02.TO.1.2" xfId="247"/>
    <cellStyle name="_Model_RAB_MRSK_svod 2_UPDATE.OREP.KU.2011.MONTHLY.02.TO.1.2_OREP.SZPR.2012.NCZ(v1.0)" xfId="248"/>
    <cellStyle name="_Model_RAB_MRSK_svod_46EE.2011(v1.0)" xfId="249"/>
    <cellStyle name="_Model_RAB_MRSK_svod_46EE.2011(v1.0)_46TE.2011(v1.0)" xfId="250"/>
    <cellStyle name="_Model_RAB_MRSK_svod_46EE.2011(v1.0)_INDEX.STATION.2012(v1.0)_" xfId="251"/>
    <cellStyle name="_Model_RAB_MRSK_svod_46EE.2011(v1.0)_INDEX.STATION.2012(v1.0)__OREP.SZPR.2012.NCZ(v1.0)" xfId="252"/>
    <cellStyle name="_Model_RAB_MRSK_svod_46EE.2011(v1.0)_INDEX.STATION.2012(v2.0)" xfId="253"/>
    <cellStyle name="_Model_RAB_MRSK_svod_46EE.2011(v1.0)_INDEX.STATION.2012(v2.0)_OREP.SZPR.2012.NCZ(v1.0)" xfId="254"/>
    <cellStyle name="_Model_RAB_MRSK_svod_46EE.2011(v1.0)_INDEX.STATION.2012(v2.1)" xfId="255"/>
    <cellStyle name="_Model_RAB_MRSK_svod_46EE.2011(v1.0)_OREP.SZPR.2012.NCZ(v1.0)" xfId="256"/>
    <cellStyle name="_Model_RAB_MRSK_svod_46EE.2011(v1.0)_TEPLO.PREDEL.2012.M(v1.1)_test" xfId="257"/>
    <cellStyle name="_Model_RAB_MRSK_svod_46EE.2011(v1.2)" xfId="258"/>
    <cellStyle name="_Model_RAB_MRSK_svod_46EE.2011(v1.2)_FORM5.2012(v1.0)" xfId="259"/>
    <cellStyle name="_Model_RAB_MRSK_svod_46EE.2011(v1.2)_OREP.INV.GEN.G(v1.0)" xfId="260"/>
    <cellStyle name="_Model_RAB_MRSK_svod_46EE.2011(v1.2)_OREP.SZPR.2012.NCZ(v1.0)" xfId="261"/>
    <cellStyle name="_Model_RAB_MRSK_svod_46EP.2011(v2.0)" xfId="262"/>
    <cellStyle name="_Model_RAB_MRSK_svod_46EP.2012(v0.1)" xfId="263"/>
    <cellStyle name="_Model_RAB_MRSK_svod_46TE.2011(v1.0)" xfId="264"/>
    <cellStyle name="_Model_RAB_MRSK_svod_4DNS.UPDATE.EXAMPLE" xfId="265"/>
    <cellStyle name="_Model_RAB_MRSK_svod_ARMRAZR" xfId="266"/>
    <cellStyle name="_Model_RAB_MRSK_svod_ARMRAZR_OREP.SZPR.2012.NCZ(v1.0)" xfId="267"/>
    <cellStyle name="_Model_RAB_MRSK_svod_BALANCE.WARM.2010.FACT(v1.0)" xfId="268"/>
    <cellStyle name="_Model_RAB_MRSK_svod_BALANCE.WARM.2010.FACT(v1.0)_OREP.SZPR.2012.NCZ(v1.0)" xfId="269"/>
    <cellStyle name="_Model_RAB_MRSK_svod_BALANCE.WARM.2010.PLAN" xfId="270"/>
    <cellStyle name="_Model_RAB_MRSK_svod_BALANCE.WARM.2010.PLAN_FORM5.2012(v1.0)" xfId="271"/>
    <cellStyle name="_Model_RAB_MRSK_svod_BALANCE.WARM.2010.PLAN_OREP.INV.GEN.G(v1.0)" xfId="272"/>
    <cellStyle name="_Model_RAB_MRSK_svod_BALANCE.WARM.2010.PLAN_OREP.SZPR.2012.NCZ(v1.0)" xfId="273"/>
    <cellStyle name="_Model_RAB_MRSK_svod_BALANCE.WARM.2011YEAR(v0.7)" xfId="274"/>
    <cellStyle name="_Model_RAB_MRSK_svod_BALANCE.WARM.2011YEAR(v0.7)_FORM5.2012(v1.0)" xfId="275"/>
    <cellStyle name="_Model_RAB_MRSK_svod_BALANCE.WARM.2011YEAR(v0.7)_OREP.INV.GEN.G(v1.0)" xfId="276"/>
    <cellStyle name="_Model_RAB_MRSK_svod_BALANCE.WARM.2011YEAR(v0.7)_OREP.SZPR.2012.NCZ(v1.0)" xfId="277"/>
    <cellStyle name="_Model_RAB_MRSK_svod_BALANCE.WARM.2011YEAR.NEW.UPDATE.SCHEME" xfId="278"/>
    <cellStyle name="_Model_RAB_MRSK_svod_BALANCE.WARM.2011YEAR.NEW.UPDATE.SCHEME_OREP.SZPR.2012.NCZ(v1.0)" xfId="279"/>
    <cellStyle name="_Model_RAB_MRSK_svod_CALC.NORMATIV.KU(v0.2)" xfId="280"/>
    <cellStyle name="_Model_RAB_MRSK_svod_CALC.VS.2013.PLAN(v1.0) (2)" xfId="281"/>
    <cellStyle name="_Model_RAB_MRSK_svod_EE.2REK.P2011.4.78(v0.3)" xfId="282"/>
    <cellStyle name="_Model_RAB_MRSK_svod_EE.2REK.P2011.4.78(v0.3)_OREP.SZPR.2012.NCZ(v1.0)" xfId="283"/>
    <cellStyle name="_Model_RAB_MRSK_svod_FORM3.1.2013(v0.2)" xfId="284"/>
    <cellStyle name="_Model_RAB_MRSK_svod_FORM3.2013(v1.0)" xfId="285"/>
    <cellStyle name="_Model_RAB_MRSK_svod_FORM3.REG(v1.0)" xfId="286"/>
    <cellStyle name="_Model_RAB_MRSK_svod_FORM910.2012(v0.5)" xfId="287"/>
    <cellStyle name="_Model_RAB_MRSK_svod_FORM910.2012(v0.5)_FORM5.2012(v1.0)" xfId="288"/>
    <cellStyle name="_Model_RAB_MRSK_svod_FORM910.2012(v1.1)" xfId="289"/>
    <cellStyle name="_Model_RAB_MRSK_svod_FORM910.2012(v1.1)_OREP.SZPR.2012.NCZ(v1.0)" xfId="290"/>
    <cellStyle name="_Model_RAB_MRSK_svod_FORMA23-N.ENRG.2011 (v0.1)" xfId="291"/>
    <cellStyle name="_Model_RAB_MRSK_svod_FORMA23-N.ENRG.2011 (v0.1)_OREP.SZPR.2012.NCZ(v1.0)" xfId="292"/>
    <cellStyle name="_Model_RAB_MRSK_svod_INVEST.EE.PLAN.4.78(v0.1)" xfId="293"/>
    <cellStyle name="_Model_RAB_MRSK_svod_INVEST.EE.PLAN.4.78(v0.1)_OREP.SZPR.2012.NCZ(v1.0)" xfId="294"/>
    <cellStyle name="_Model_RAB_MRSK_svod_INVEST.EE.PLAN.4.78(v0.3)" xfId="295"/>
    <cellStyle name="_Model_RAB_MRSK_svod_INVEST.EE.PLAN.4.78(v0.3)_OREP.SZPR.2012.NCZ(v1.0)" xfId="296"/>
    <cellStyle name="_Model_RAB_MRSK_svod_INVEST.EE.PLAN.4.78(v1.0)" xfId="297"/>
    <cellStyle name="_Model_RAB_MRSK_svod_INVEST.EE.PLAN.4.78(v1.0)_FORM11.2013" xfId="298"/>
    <cellStyle name="_Model_RAB_MRSK_svod_INVEST.EE.PLAN.4.78(v1.0)_OREP.SZPR.2012.NCZ(v1.0)" xfId="299"/>
    <cellStyle name="_Model_RAB_MRSK_svod_INVEST.EE.PLAN.4.78(v1.0)_PASSPORT.TEPLO.PROIZV(v2.0)" xfId="300"/>
    <cellStyle name="_Model_RAB_MRSK_svod_INVEST.EE.PLAN.4.78(v1.0)_PASSPORT.TEPLO.PROIZV(v2.0)_MWT.POTERI.SETI.2012(v0.1)" xfId="301"/>
    <cellStyle name="_Model_RAB_MRSK_svod_INVEST.EE.PLAN.4.78(v1.0)_PASSPORT.TEPLO.PROIZV(v2.0)_PASSPORT.TEPLO.SETI(v2.0f)" xfId="302"/>
    <cellStyle name="_Model_RAB_MRSK_svod_INVEST.EE.PLAN.4.78(v1.0)_PASSPORT.TEPLO.PROIZV(v2.0)_PASSPORT.TEPLO.SETI(v2.0f)_UPDATE.PASSPORT.TEPLO.PROIZV.TO.3.1" xfId="303"/>
    <cellStyle name="_Model_RAB_MRSK_svod_INVEST.EE.PLAN.4.78(v1.0)_PASSPORT.TEPLO.SETI(v2.0f)" xfId="304"/>
    <cellStyle name="_Model_RAB_MRSK_svod_INVEST.EE.PLAN.4.78(v1.0)_UPDATE.PASSPORT.TEPLO.PROIZV.TO.3.1" xfId="305"/>
    <cellStyle name="_Model_RAB_MRSK_svod_INVEST.PLAN.4.78(v0.1)" xfId="306"/>
    <cellStyle name="_Model_RAB_MRSK_svod_INVEST.PLAN.4.78(v0.1)_OREP.SZPR.2012.NCZ(v1.0)" xfId="307"/>
    <cellStyle name="_Model_RAB_MRSK_svod_INVEST.WARM.PLAN.4.78(v0.1)" xfId="308"/>
    <cellStyle name="_Model_RAB_MRSK_svod_INVEST.WARM.PLAN.4.78(v0.1)_OREP.SZPR.2012.NCZ(v1.0)" xfId="309"/>
    <cellStyle name="_Model_RAB_MRSK_svod_INVEST_WARM_PLAN" xfId="310"/>
    <cellStyle name="_Model_RAB_MRSK_svod_INVEST_WARM_PLAN_OREP.SZPR.2012.NCZ(v1.0)" xfId="311"/>
    <cellStyle name="_Model_RAB_MRSK_svod_NADB.JNVLP.APTEKA.2012(v1.0)_21_02_12" xfId="312"/>
    <cellStyle name="_Model_RAB_MRSK_svod_NADB.JNVLS.APTEKA.2011(v1.3.3)" xfId="313"/>
    <cellStyle name="_Model_RAB_MRSK_svod_NADB.JNVLS.APTEKA.2011(v1.3.3)_46TE.2011(v1.0)" xfId="314"/>
    <cellStyle name="_Model_RAB_MRSK_svod_NADB.JNVLS.APTEKA.2011(v1.3.3)_INDEX.STATION.2012(v1.0)_" xfId="315"/>
    <cellStyle name="_Model_RAB_MRSK_svod_NADB.JNVLS.APTEKA.2011(v1.3.3)_INDEX.STATION.2012(v1.0)__OREP.SZPR.2012.NCZ(v1.0)" xfId="316"/>
    <cellStyle name="_Model_RAB_MRSK_svod_NADB.JNVLS.APTEKA.2011(v1.3.3)_INDEX.STATION.2012(v2.0)" xfId="317"/>
    <cellStyle name="_Model_RAB_MRSK_svod_NADB.JNVLS.APTEKA.2011(v1.3.3)_INDEX.STATION.2012(v2.0)_OREP.SZPR.2012.NCZ(v1.0)" xfId="318"/>
    <cellStyle name="_Model_RAB_MRSK_svod_NADB.JNVLS.APTEKA.2011(v1.3.3)_INDEX.STATION.2012(v2.1)" xfId="319"/>
    <cellStyle name="_Model_RAB_MRSK_svod_NADB.JNVLS.APTEKA.2011(v1.3.3)_OREP.SZPR.2012.NCZ(v1.0)" xfId="320"/>
    <cellStyle name="_Model_RAB_MRSK_svod_NADB.JNVLS.APTEKA.2011(v1.3.3)_TEPLO.PREDEL.2012.M(v1.1)_test" xfId="321"/>
    <cellStyle name="_Model_RAB_MRSK_svod_NADB.JNVLS.APTEKA.2011(v1.3.4)" xfId="322"/>
    <cellStyle name="_Model_RAB_MRSK_svod_NADB.JNVLS.APTEKA.2011(v1.3.4)_46TE.2011(v1.0)" xfId="323"/>
    <cellStyle name="_Model_RAB_MRSK_svod_NADB.JNVLS.APTEKA.2011(v1.3.4)_INDEX.STATION.2012(v1.0)_" xfId="324"/>
    <cellStyle name="_Model_RAB_MRSK_svod_NADB.JNVLS.APTEKA.2011(v1.3.4)_INDEX.STATION.2012(v1.0)__OREP.SZPR.2012.NCZ(v1.0)" xfId="325"/>
    <cellStyle name="_Model_RAB_MRSK_svod_NADB.JNVLS.APTEKA.2011(v1.3.4)_INDEX.STATION.2012(v2.0)" xfId="326"/>
    <cellStyle name="_Model_RAB_MRSK_svod_NADB.JNVLS.APTEKA.2011(v1.3.4)_INDEX.STATION.2012(v2.0)_OREP.SZPR.2012.NCZ(v1.0)" xfId="327"/>
    <cellStyle name="_Model_RAB_MRSK_svod_NADB.JNVLS.APTEKA.2011(v1.3.4)_INDEX.STATION.2012(v2.1)" xfId="328"/>
    <cellStyle name="_Model_RAB_MRSK_svod_NADB.JNVLS.APTEKA.2011(v1.3.4)_OREP.SZPR.2012.NCZ(v1.0)" xfId="329"/>
    <cellStyle name="_Model_RAB_MRSK_svod_NADB.JNVLS.APTEKA.2011(v1.3.4)_TEPLO.PREDEL.2012.M(v1.1)_test" xfId="330"/>
    <cellStyle name="_Model_RAB_MRSK_svod_OREP.SZPR.2012.NCZ(v1.0)" xfId="331"/>
    <cellStyle name="_Model_RAB_MRSK_svod_PASSPORT.TEPLO.PROIZV(v2.0)" xfId="332"/>
    <cellStyle name="_Model_RAB_MRSK_svod_PASSPORT.TEPLO.PROIZV(v2.0)_OREP.SZPR.2012.NCZ(v1.0)" xfId="333"/>
    <cellStyle name="_Model_RAB_MRSK_svod_PASSPORT.TEPLO.PROIZV(v2.1)" xfId="334"/>
    <cellStyle name="_Model_RAB_MRSK_svod_PASSPORT.TEPLO.SETI(v1.0)" xfId="335"/>
    <cellStyle name="_Model_RAB_MRSK_svod_PORT.PRICE(v0.3)" xfId="336"/>
    <cellStyle name="_Model_RAB_MRSK_svod_PR.PROG.WARM.NOTCOMBI.2012.2.16_v1.4(04.04.11) " xfId="337"/>
    <cellStyle name="_Model_RAB_MRSK_svod_PREDEL.JKH.UTV.2011(v1.0.1)" xfId="338"/>
    <cellStyle name="_Model_RAB_MRSK_svod_PREDEL.JKH.UTV.2011(v1.0.1)_46TE.2011(v1.0)" xfId="339"/>
    <cellStyle name="_Model_RAB_MRSK_svod_PREDEL.JKH.UTV.2011(v1.0.1)_INDEX.STATION.2012(v1.0)_" xfId="340"/>
    <cellStyle name="_Model_RAB_MRSK_svod_PREDEL.JKH.UTV.2011(v1.0.1)_INDEX.STATION.2012(v1.0)__OREP.SZPR.2012.NCZ(v1.0)" xfId="341"/>
    <cellStyle name="_Model_RAB_MRSK_svod_PREDEL.JKH.UTV.2011(v1.0.1)_INDEX.STATION.2012(v2.0)" xfId="342"/>
    <cellStyle name="_Model_RAB_MRSK_svod_PREDEL.JKH.UTV.2011(v1.0.1)_INDEX.STATION.2012(v2.0)_OREP.SZPR.2012.NCZ(v1.0)" xfId="343"/>
    <cellStyle name="_Model_RAB_MRSK_svod_PREDEL.JKH.UTV.2011(v1.0.1)_INDEX.STATION.2012(v2.1)" xfId="344"/>
    <cellStyle name="_Model_RAB_MRSK_svod_PREDEL.JKH.UTV.2011(v1.0.1)_OREP.SZPR.2012.NCZ(v1.0)" xfId="345"/>
    <cellStyle name="_Model_RAB_MRSK_svod_PREDEL.JKH.UTV.2011(v1.0.1)_TEPLO.PREDEL.2012.M(v1.1)_test" xfId="346"/>
    <cellStyle name="_Model_RAB_MRSK_svod_PREDEL.JKH.UTV.2011(v1.1)" xfId="347"/>
    <cellStyle name="_Model_RAB_MRSK_svod_PREDEL.JKH.UTV.2011(v1.1)_FORM5.2012(v1.0)" xfId="348"/>
    <cellStyle name="_Model_RAB_MRSK_svod_PREDEL.JKH.UTV.2011(v1.1)_OREP.INV.GEN.G(v1.0)" xfId="349"/>
    <cellStyle name="_Model_RAB_MRSK_svod_PREDEL.JKH.UTV.2011(v1.1)_OREP.SZPR.2012.NCZ(v1.0)" xfId="350"/>
    <cellStyle name="_Model_RAB_MRSK_svod_REP.BLR.2012(v1.0)" xfId="351"/>
    <cellStyle name="_Model_RAB_MRSK_svod_TEHSHEET" xfId="352"/>
    <cellStyle name="_Model_RAB_MRSK_svod_TEPLO.PREDEL.2012.M(v1.1)" xfId="353"/>
    <cellStyle name="_Model_RAB_MRSK_svod_TEST.TEMPLATE" xfId="354"/>
    <cellStyle name="_Model_RAB_MRSK_svod_TEST.TEMPLATE_OREP.SZPR.2012.NCZ(v1.0)" xfId="355"/>
    <cellStyle name="_Model_RAB_MRSK_svod_UPDATE.46EE.2011.TO.1.1" xfId="356"/>
    <cellStyle name="_Model_RAB_MRSK_svod_UPDATE.46EE.2011.TO.1.1_OREP.SZPR.2012.NCZ(v1.0)" xfId="357"/>
    <cellStyle name="_Model_RAB_MRSK_svod_UPDATE.46TE.2011.TO.1.1" xfId="358"/>
    <cellStyle name="_Model_RAB_MRSK_svod_UPDATE.46TE.2011.TO.1.2" xfId="359"/>
    <cellStyle name="_Model_RAB_MRSK_svod_UPDATE.BALANCE.WARM.2011YEAR.TO.1.1" xfId="360"/>
    <cellStyle name="_Model_RAB_MRSK_svod_UPDATE.BALANCE.WARM.2011YEAR.TO.1.1_46TE.2011(v1.0)" xfId="361"/>
    <cellStyle name="_Model_RAB_MRSK_svod_UPDATE.BALANCE.WARM.2011YEAR.TO.1.1_INDEX.STATION.2012(v1.0)_" xfId="362"/>
    <cellStyle name="_Model_RAB_MRSK_svod_UPDATE.BALANCE.WARM.2011YEAR.TO.1.1_INDEX.STATION.2012(v1.0)__OREP.SZPR.2012.NCZ(v1.0)" xfId="363"/>
    <cellStyle name="_Model_RAB_MRSK_svod_UPDATE.BALANCE.WARM.2011YEAR.TO.1.1_INDEX.STATION.2012(v2.0)" xfId="364"/>
    <cellStyle name="_Model_RAB_MRSK_svod_UPDATE.BALANCE.WARM.2011YEAR.TO.1.1_INDEX.STATION.2012(v2.0)_OREP.SZPR.2012.NCZ(v1.0)" xfId="365"/>
    <cellStyle name="_Model_RAB_MRSK_svod_UPDATE.BALANCE.WARM.2011YEAR.TO.1.1_INDEX.STATION.2012(v2.1)" xfId="366"/>
    <cellStyle name="_Model_RAB_MRSK_svod_UPDATE.BALANCE.WARM.2011YEAR.TO.1.1_OREP.KU.2011.MONTHLY.02(v1.1)" xfId="367"/>
    <cellStyle name="_Model_RAB_MRSK_svod_UPDATE.BALANCE.WARM.2011YEAR.TO.1.1_OREP.KU.2011.MONTHLY.02(v1.1)_OREP.SZPR.2012.NCZ(v1.0)" xfId="368"/>
    <cellStyle name="_Model_RAB_MRSK_svod_UPDATE.BALANCE.WARM.2011YEAR.TO.1.1_OREP.SZPR.2012.NCZ(v1.0)" xfId="369"/>
    <cellStyle name="_Model_RAB_MRSK_svod_UPDATE.BALANCE.WARM.2011YEAR.TO.1.1_TEPLO.PREDEL.2012.M(v1.1)_test" xfId="370"/>
    <cellStyle name="_Model_RAB_MRSK_svod_UPDATE.BALANCE.WARM.2011YEAR.TO.1.2" xfId="371"/>
    <cellStyle name="_Model_RAB_MRSK_svod_UPDATE.BALANCE.WARM.2011YEAR.TO.1.4.64" xfId="372"/>
    <cellStyle name="_Model_RAB_MRSK_svod_UPDATE.BALANCE.WARM.2011YEAR.TO.1.5.64" xfId="373"/>
    <cellStyle name="_Model_RAB_MRSK_svod_UPDATE.NADB.JNVLS.APTEKA.2011.TO.1.3.4" xfId="374"/>
    <cellStyle name="_Model_RAB_MRSK_svod_UPDATE.NADB.JNVLS.APTEKA.2011.TO.1.3.4_OREP.SZPR.2012.NCZ(v1.0)" xfId="375"/>
    <cellStyle name="_Model_RAB_MRSK_svod_Книга2_PR.PROG.WARM.NOTCOMBI.2012.2.16_v1.4(04.04.11) " xfId="376"/>
    <cellStyle name="_Moteko_val" xfId="377"/>
    <cellStyle name="_New_Sofi" xfId="378"/>
    <cellStyle name="_New_Sofi_FFF" xfId="379"/>
    <cellStyle name="_New_Sofi_New Form10_2" xfId="380"/>
    <cellStyle name="_New_Sofi_Nsi" xfId="381"/>
    <cellStyle name="_New_Sofi_Nsi_1" xfId="382"/>
    <cellStyle name="_New_Sofi_Nsi_139" xfId="383"/>
    <cellStyle name="_New_Sofi_Nsi_140" xfId="384"/>
    <cellStyle name="_New_Sofi_Nsi_140(Зах)" xfId="385"/>
    <cellStyle name="_New_Sofi_Nsi_140_mod" xfId="386"/>
    <cellStyle name="_New_Sofi_Summary" xfId="387"/>
    <cellStyle name="_New_Sofi_Tax_form_1кв_3" xfId="388"/>
    <cellStyle name="_New_Sofi_БКЭ" xfId="389"/>
    <cellStyle name="_Nsi" xfId="390"/>
    <cellStyle name="_Plug" xfId="391"/>
    <cellStyle name="_Plug_4DNS.UPDATE.EXAMPLE" xfId="392"/>
    <cellStyle name="_Plug_Исходная вода" xfId="393"/>
    <cellStyle name="_Plug_Котлы ТЭС" xfId="394"/>
    <cellStyle name="_Plug_ТЭЦ" xfId="395"/>
    <cellStyle name="_АГ" xfId="396"/>
    <cellStyle name="_АГ_2009 год  в  формате  Сибири1" xfId="397"/>
    <cellStyle name="_АГ_Приложение3_к_Регламенту_ЭХ_ФорматLife-Book_наш" xfId="398"/>
    <cellStyle name="_БДР04м05" xfId="399"/>
    <cellStyle name="_Бюджет2006_ПОКАЗАТЕЛИ СВОДНЫЕ" xfId="400"/>
    <cellStyle name="_Вариант БДР ГРО по элементам 2006_06_28" xfId="401"/>
    <cellStyle name="_ВО ОП ТЭС-ОТ- 2007" xfId="402"/>
    <cellStyle name="_ВО ОП ТЭС-ОТ- 2007_Новая инструкция1_фст" xfId="403"/>
    <cellStyle name="_ВФ ОАО ТЭС-ОТ- 2009" xfId="404"/>
    <cellStyle name="_ВФ ОАО ТЭС-ОТ- 2009_Новая инструкция1_фст" xfId="405"/>
    <cellStyle name="_выручка по присоединениям2" xfId="406"/>
    <cellStyle name="_выручка по присоединениям2_Новая инструкция1_фст" xfId="407"/>
    <cellStyle name="_Договор аренды ЯЭ с разбивкой" xfId="408"/>
    <cellStyle name="_Договор аренды ЯЭ с разбивкой_Новая инструкция1_фст" xfId="409"/>
    <cellStyle name="_Дозакл 5 мес.2000" xfId="410"/>
    <cellStyle name="_Защита ФЗП" xfId="411"/>
    <cellStyle name="_Исходные данные для модели" xfId="412"/>
    <cellStyle name="_Исходные данные для модели_Новая инструкция1_фст" xfId="413"/>
    <cellStyle name="_Книга1" xfId="414"/>
    <cellStyle name="_Книга3" xfId="415"/>
    <cellStyle name="_Книга3_New Form10_2" xfId="416"/>
    <cellStyle name="_Книга3_Nsi" xfId="417"/>
    <cellStyle name="_Книга3_Nsi_1" xfId="418"/>
    <cellStyle name="_Книга3_Nsi_139" xfId="419"/>
    <cellStyle name="_Книга3_Nsi_140" xfId="420"/>
    <cellStyle name="_Книга3_Nsi_140(Зах)" xfId="421"/>
    <cellStyle name="_Книга3_Nsi_140_mod" xfId="422"/>
    <cellStyle name="_Книга3_Summary" xfId="423"/>
    <cellStyle name="_Книга3_Tax_form_1кв_3" xfId="424"/>
    <cellStyle name="_Книга3_БКЭ" xfId="425"/>
    <cellStyle name="_Книга7" xfId="426"/>
    <cellStyle name="_Книга7_New Form10_2" xfId="427"/>
    <cellStyle name="_Книга7_Nsi" xfId="428"/>
    <cellStyle name="_Книга7_Nsi_1" xfId="429"/>
    <cellStyle name="_Книга7_Nsi_139" xfId="430"/>
    <cellStyle name="_Книга7_Nsi_140" xfId="431"/>
    <cellStyle name="_Книга7_Nsi_140(Зах)" xfId="432"/>
    <cellStyle name="_Книга7_Nsi_140_mod" xfId="433"/>
    <cellStyle name="_Книга7_Summary" xfId="434"/>
    <cellStyle name="_Книга7_Tax_form_1кв_3" xfId="435"/>
    <cellStyle name="_Книга7_БКЭ" xfId="436"/>
    <cellStyle name="_Консолидация-2008-проект-new" xfId="437"/>
    <cellStyle name="_Копия бюджет 2006г (3)" xfId="438"/>
    <cellStyle name="_Куликова ОПП" xfId="439"/>
    <cellStyle name="_МОДЕЛЬ_1 (2)" xfId="440"/>
    <cellStyle name="_МОДЕЛЬ_1 (2) 2" xfId="441"/>
    <cellStyle name="_МОДЕЛЬ_1 (2) 2_CALC.VS.2013.PLAN(v1.0) (2)" xfId="442"/>
    <cellStyle name="_МОДЕЛЬ_1 (2) 2_OREP.KU.2011.MONTHLY.02(v0.1)" xfId="443"/>
    <cellStyle name="_МОДЕЛЬ_1 (2) 2_OREP.KU.2011.MONTHLY.02(v0.1)_OREP.SZPR.2012.NCZ(v1.0)" xfId="444"/>
    <cellStyle name="_МОДЕЛЬ_1 (2) 2_OREP.KU.2011.MONTHLY.02(v0.4)" xfId="445"/>
    <cellStyle name="_МОДЕЛЬ_1 (2) 2_OREP.KU.2011.MONTHLY.02(v0.4)_OREP.SZPR.2012.NCZ(v1.0)" xfId="446"/>
    <cellStyle name="_МОДЕЛЬ_1 (2) 2_OREP.KU.2011.MONTHLY.11(v1.4)" xfId="447"/>
    <cellStyle name="_МОДЕЛЬ_1 (2) 2_OREP.KU.2011.MONTHLY.11(v1.4)_OREP.SZPR.2012.NCZ(v1.0)" xfId="448"/>
    <cellStyle name="_МОДЕЛЬ_1 (2) 2_OREP.KU.2011.MONTHLY.11(v1.4)_UPDATE.BALANCE.WARM.2012YEAR.TO.1.1" xfId="449"/>
    <cellStyle name="_МОДЕЛЬ_1 (2) 2_OREP.SZPR.2012.NCZ(v1.0)" xfId="450"/>
    <cellStyle name="_МОДЕЛЬ_1 (2) 2_PORT.PRICE(v0.3)" xfId="451"/>
    <cellStyle name="_МОДЕЛЬ_1 (2) 2_UPDATE.BALANCE.WARM.2012YEAR.TO.1.1" xfId="452"/>
    <cellStyle name="_МОДЕЛЬ_1 (2) 2_UPDATE.OREP.KU.2011.MONTHLY.02.TO.1.2" xfId="453"/>
    <cellStyle name="_МОДЕЛЬ_1 (2) 2_UPDATE.OREP.KU.2011.MONTHLY.02.TO.1.2_OREP.SZPR.2012.NCZ(v1.0)" xfId="454"/>
    <cellStyle name="_МОДЕЛЬ_1 (2)_46EE.2011(v1.0)" xfId="455"/>
    <cellStyle name="_МОДЕЛЬ_1 (2)_46EE.2011(v1.0)_46TE.2011(v1.0)" xfId="456"/>
    <cellStyle name="_МОДЕЛЬ_1 (2)_46EE.2011(v1.0)_INDEX.STATION.2012(v1.0)_" xfId="457"/>
    <cellStyle name="_МОДЕЛЬ_1 (2)_46EE.2011(v1.0)_INDEX.STATION.2012(v1.0)__OREP.SZPR.2012.NCZ(v1.0)" xfId="458"/>
    <cellStyle name="_МОДЕЛЬ_1 (2)_46EE.2011(v1.0)_INDEX.STATION.2012(v2.0)" xfId="459"/>
    <cellStyle name="_МОДЕЛЬ_1 (2)_46EE.2011(v1.0)_INDEX.STATION.2012(v2.0)_OREP.SZPR.2012.NCZ(v1.0)" xfId="460"/>
    <cellStyle name="_МОДЕЛЬ_1 (2)_46EE.2011(v1.0)_INDEX.STATION.2012(v2.1)" xfId="461"/>
    <cellStyle name="_МОДЕЛЬ_1 (2)_46EE.2011(v1.0)_OREP.SZPR.2012.NCZ(v1.0)" xfId="462"/>
    <cellStyle name="_МОДЕЛЬ_1 (2)_46EE.2011(v1.0)_TEPLO.PREDEL.2012.M(v1.1)_test" xfId="463"/>
    <cellStyle name="_МОДЕЛЬ_1 (2)_46EE.2011(v1.2)" xfId="464"/>
    <cellStyle name="_МОДЕЛЬ_1 (2)_46EE.2011(v1.2)_FORM5.2012(v1.0)" xfId="465"/>
    <cellStyle name="_МОДЕЛЬ_1 (2)_46EE.2011(v1.2)_OREP.INV.GEN.G(v1.0)" xfId="466"/>
    <cellStyle name="_МОДЕЛЬ_1 (2)_46EE.2011(v1.2)_OREP.SZPR.2012.NCZ(v1.0)" xfId="467"/>
    <cellStyle name="_МОДЕЛЬ_1 (2)_46EP.2011(v2.0)" xfId="468"/>
    <cellStyle name="_МОДЕЛЬ_1 (2)_46EP.2012(v0.1)" xfId="469"/>
    <cellStyle name="_МОДЕЛЬ_1 (2)_46TE.2011(v1.0)" xfId="470"/>
    <cellStyle name="_МОДЕЛЬ_1 (2)_4DNS.UPDATE.EXAMPLE" xfId="471"/>
    <cellStyle name="_МОДЕЛЬ_1 (2)_ARMRAZR" xfId="472"/>
    <cellStyle name="_МОДЕЛЬ_1 (2)_ARMRAZR_OREP.SZPR.2012.NCZ(v1.0)" xfId="473"/>
    <cellStyle name="_МОДЕЛЬ_1 (2)_BALANCE.WARM.2010.FACT(v1.0)" xfId="474"/>
    <cellStyle name="_МОДЕЛЬ_1 (2)_BALANCE.WARM.2010.FACT(v1.0)_OREP.SZPR.2012.NCZ(v1.0)" xfId="475"/>
    <cellStyle name="_МОДЕЛЬ_1 (2)_BALANCE.WARM.2010.PLAN" xfId="476"/>
    <cellStyle name="_МОДЕЛЬ_1 (2)_BALANCE.WARM.2010.PLAN_FORM5.2012(v1.0)" xfId="477"/>
    <cellStyle name="_МОДЕЛЬ_1 (2)_BALANCE.WARM.2010.PLAN_OREP.INV.GEN.G(v1.0)" xfId="478"/>
    <cellStyle name="_МОДЕЛЬ_1 (2)_BALANCE.WARM.2010.PLAN_OREP.SZPR.2012.NCZ(v1.0)" xfId="479"/>
    <cellStyle name="_МОДЕЛЬ_1 (2)_BALANCE.WARM.2011YEAR(v0.7)" xfId="480"/>
    <cellStyle name="_МОДЕЛЬ_1 (2)_BALANCE.WARM.2011YEAR(v0.7)_FORM5.2012(v1.0)" xfId="481"/>
    <cellStyle name="_МОДЕЛЬ_1 (2)_BALANCE.WARM.2011YEAR(v0.7)_OREP.INV.GEN.G(v1.0)" xfId="482"/>
    <cellStyle name="_МОДЕЛЬ_1 (2)_BALANCE.WARM.2011YEAR(v0.7)_OREP.SZPR.2012.NCZ(v1.0)" xfId="483"/>
    <cellStyle name="_МОДЕЛЬ_1 (2)_BALANCE.WARM.2011YEAR.NEW.UPDATE.SCHEME" xfId="484"/>
    <cellStyle name="_МОДЕЛЬ_1 (2)_BALANCE.WARM.2011YEAR.NEW.UPDATE.SCHEME_OREP.SZPR.2012.NCZ(v1.0)" xfId="485"/>
    <cellStyle name="_МОДЕЛЬ_1 (2)_CALC.NORMATIV.KU(v0.2)" xfId="486"/>
    <cellStyle name="_МОДЕЛЬ_1 (2)_CALC.VS.2013.PLAN(v1.0) (2)" xfId="487"/>
    <cellStyle name="_МОДЕЛЬ_1 (2)_EE.2REK.P2011.4.78(v0.3)" xfId="488"/>
    <cellStyle name="_МОДЕЛЬ_1 (2)_EE.2REK.P2011.4.78(v0.3)_OREP.SZPR.2012.NCZ(v1.0)" xfId="489"/>
    <cellStyle name="_МОДЕЛЬ_1 (2)_FORM3.1.2013(v0.2)" xfId="490"/>
    <cellStyle name="_МОДЕЛЬ_1 (2)_FORM3.2013(v1.0)" xfId="491"/>
    <cellStyle name="_МОДЕЛЬ_1 (2)_FORM3.REG(v1.0)" xfId="492"/>
    <cellStyle name="_МОДЕЛЬ_1 (2)_FORM910.2012(v0.5)" xfId="493"/>
    <cellStyle name="_МОДЕЛЬ_1 (2)_FORM910.2012(v0.5)_FORM5.2012(v1.0)" xfId="494"/>
    <cellStyle name="_МОДЕЛЬ_1 (2)_FORM910.2012(v1.1)" xfId="495"/>
    <cellStyle name="_МОДЕЛЬ_1 (2)_FORM910.2012(v1.1)_OREP.SZPR.2012.NCZ(v1.0)" xfId="496"/>
    <cellStyle name="_МОДЕЛЬ_1 (2)_FORMA23-N.ENRG.2011 (v0.1)" xfId="497"/>
    <cellStyle name="_МОДЕЛЬ_1 (2)_FORMA23-N.ENRG.2011 (v0.1)_OREP.SZPR.2012.NCZ(v1.0)" xfId="498"/>
    <cellStyle name="_МОДЕЛЬ_1 (2)_INVEST.EE.PLAN.4.78(v0.1)" xfId="499"/>
    <cellStyle name="_МОДЕЛЬ_1 (2)_INVEST.EE.PLAN.4.78(v0.1)_OREP.SZPR.2012.NCZ(v1.0)" xfId="500"/>
    <cellStyle name="_МОДЕЛЬ_1 (2)_INVEST.EE.PLAN.4.78(v0.3)" xfId="501"/>
    <cellStyle name="_МОДЕЛЬ_1 (2)_INVEST.EE.PLAN.4.78(v0.3)_OREP.SZPR.2012.NCZ(v1.0)" xfId="502"/>
    <cellStyle name="_МОДЕЛЬ_1 (2)_INVEST.EE.PLAN.4.78(v1.0)" xfId="503"/>
    <cellStyle name="_МОДЕЛЬ_1 (2)_INVEST.EE.PLAN.4.78(v1.0)_FORM11.2013" xfId="504"/>
    <cellStyle name="_МОДЕЛЬ_1 (2)_INVEST.EE.PLAN.4.78(v1.0)_OREP.SZPR.2012.NCZ(v1.0)" xfId="505"/>
    <cellStyle name="_МОДЕЛЬ_1 (2)_INVEST.EE.PLAN.4.78(v1.0)_PASSPORT.TEPLO.PROIZV(v2.0)" xfId="506"/>
    <cellStyle name="_МОДЕЛЬ_1 (2)_INVEST.EE.PLAN.4.78(v1.0)_PASSPORT.TEPLO.PROIZV(v2.0)_MWT.POTERI.SETI.2012(v0.1)" xfId="507"/>
    <cellStyle name="_МОДЕЛЬ_1 (2)_INVEST.EE.PLAN.4.78(v1.0)_PASSPORT.TEPLO.PROIZV(v2.0)_PASSPORT.TEPLO.SETI(v2.0f)" xfId="508"/>
    <cellStyle name="_МОДЕЛЬ_1 (2)_INVEST.EE.PLAN.4.78(v1.0)_PASSPORT.TEPLO.PROIZV(v2.0)_PASSPORT.TEPLO.SETI(v2.0f)_UPDATE.PASSPORT.TEPLO.PROIZV.TO.3.1" xfId="509"/>
    <cellStyle name="_МОДЕЛЬ_1 (2)_INVEST.EE.PLAN.4.78(v1.0)_PASSPORT.TEPLO.SETI(v2.0f)" xfId="510"/>
    <cellStyle name="_МОДЕЛЬ_1 (2)_INVEST.EE.PLAN.4.78(v1.0)_UPDATE.PASSPORT.TEPLO.PROIZV.TO.3.1" xfId="511"/>
    <cellStyle name="_МОДЕЛЬ_1 (2)_INVEST.PLAN.4.78(v0.1)" xfId="512"/>
    <cellStyle name="_МОДЕЛЬ_1 (2)_INVEST.PLAN.4.78(v0.1)_OREP.SZPR.2012.NCZ(v1.0)" xfId="513"/>
    <cellStyle name="_МОДЕЛЬ_1 (2)_INVEST.WARM.PLAN.4.78(v0.1)" xfId="514"/>
    <cellStyle name="_МОДЕЛЬ_1 (2)_INVEST.WARM.PLAN.4.78(v0.1)_OREP.SZPR.2012.NCZ(v1.0)" xfId="515"/>
    <cellStyle name="_МОДЕЛЬ_1 (2)_INVEST_WARM_PLAN" xfId="516"/>
    <cellStyle name="_МОДЕЛЬ_1 (2)_INVEST_WARM_PLAN_OREP.SZPR.2012.NCZ(v1.0)" xfId="517"/>
    <cellStyle name="_МОДЕЛЬ_1 (2)_NADB.JNVLP.APTEKA.2012(v1.0)_21_02_12" xfId="518"/>
    <cellStyle name="_МОДЕЛЬ_1 (2)_NADB.JNVLS.APTEKA.2011(v1.3.3)" xfId="519"/>
    <cellStyle name="_МОДЕЛЬ_1 (2)_NADB.JNVLS.APTEKA.2011(v1.3.3)_46TE.2011(v1.0)" xfId="520"/>
    <cellStyle name="_МОДЕЛЬ_1 (2)_NADB.JNVLS.APTEKA.2011(v1.3.3)_INDEX.STATION.2012(v1.0)_" xfId="521"/>
    <cellStyle name="_МОДЕЛЬ_1 (2)_NADB.JNVLS.APTEKA.2011(v1.3.3)_INDEX.STATION.2012(v1.0)__OREP.SZPR.2012.NCZ(v1.0)" xfId="522"/>
    <cellStyle name="_МОДЕЛЬ_1 (2)_NADB.JNVLS.APTEKA.2011(v1.3.3)_INDEX.STATION.2012(v2.0)" xfId="523"/>
    <cellStyle name="_МОДЕЛЬ_1 (2)_NADB.JNVLS.APTEKA.2011(v1.3.3)_INDEX.STATION.2012(v2.0)_OREP.SZPR.2012.NCZ(v1.0)" xfId="524"/>
    <cellStyle name="_МОДЕЛЬ_1 (2)_NADB.JNVLS.APTEKA.2011(v1.3.3)_INDEX.STATION.2012(v2.1)" xfId="525"/>
    <cellStyle name="_МОДЕЛЬ_1 (2)_NADB.JNVLS.APTEKA.2011(v1.3.3)_OREP.SZPR.2012.NCZ(v1.0)" xfId="526"/>
    <cellStyle name="_МОДЕЛЬ_1 (2)_NADB.JNVLS.APTEKA.2011(v1.3.3)_TEPLO.PREDEL.2012.M(v1.1)_test" xfId="527"/>
    <cellStyle name="_МОДЕЛЬ_1 (2)_NADB.JNVLS.APTEKA.2011(v1.3.4)" xfId="528"/>
    <cellStyle name="_МОДЕЛЬ_1 (2)_NADB.JNVLS.APTEKA.2011(v1.3.4)_46TE.2011(v1.0)" xfId="529"/>
    <cellStyle name="_МОДЕЛЬ_1 (2)_NADB.JNVLS.APTEKA.2011(v1.3.4)_INDEX.STATION.2012(v1.0)_" xfId="530"/>
    <cellStyle name="_МОДЕЛЬ_1 (2)_NADB.JNVLS.APTEKA.2011(v1.3.4)_INDEX.STATION.2012(v1.0)__OREP.SZPR.2012.NCZ(v1.0)" xfId="531"/>
    <cellStyle name="_МОДЕЛЬ_1 (2)_NADB.JNVLS.APTEKA.2011(v1.3.4)_INDEX.STATION.2012(v2.0)" xfId="532"/>
    <cellStyle name="_МОДЕЛЬ_1 (2)_NADB.JNVLS.APTEKA.2011(v1.3.4)_INDEX.STATION.2012(v2.0)_OREP.SZPR.2012.NCZ(v1.0)" xfId="533"/>
    <cellStyle name="_МОДЕЛЬ_1 (2)_NADB.JNVLS.APTEKA.2011(v1.3.4)_INDEX.STATION.2012(v2.1)" xfId="534"/>
    <cellStyle name="_МОДЕЛЬ_1 (2)_NADB.JNVLS.APTEKA.2011(v1.3.4)_OREP.SZPR.2012.NCZ(v1.0)" xfId="535"/>
    <cellStyle name="_МОДЕЛЬ_1 (2)_NADB.JNVLS.APTEKA.2011(v1.3.4)_TEPLO.PREDEL.2012.M(v1.1)_test" xfId="536"/>
    <cellStyle name="_МОДЕЛЬ_1 (2)_OREP.SZPR.2012.NCZ(v1.0)" xfId="537"/>
    <cellStyle name="_МОДЕЛЬ_1 (2)_PASSPORT.TEPLO.PROIZV(v2.0)" xfId="538"/>
    <cellStyle name="_МОДЕЛЬ_1 (2)_PASSPORT.TEPLO.PROIZV(v2.0)_OREP.SZPR.2012.NCZ(v1.0)" xfId="539"/>
    <cellStyle name="_МОДЕЛЬ_1 (2)_PASSPORT.TEPLO.PROIZV(v2.1)" xfId="540"/>
    <cellStyle name="_МОДЕЛЬ_1 (2)_PASSPORT.TEPLO.SETI(v1.0)" xfId="541"/>
    <cellStyle name="_МОДЕЛЬ_1 (2)_PORT.PRICE(v0.3)" xfId="542"/>
    <cellStyle name="_МОДЕЛЬ_1 (2)_PR.PROG.WARM.NOTCOMBI.2012.2.16_v1.4(04.04.11) " xfId="543"/>
    <cellStyle name="_МОДЕЛЬ_1 (2)_PREDEL.JKH.UTV.2011(v1.0.1)" xfId="544"/>
    <cellStyle name="_МОДЕЛЬ_1 (2)_PREDEL.JKH.UTV.2011(v1.0.1)_46TE.2011(v1.0)" xfId="545"/>
    <cellStyle name="_МОДЕЛЬ_1 (2)_PREDEL.JKH.UTV.2011(v1.0.1)_INDEX.STATION.2012(v1.0)_" xfId="546"/>
    <cellStyle name="_МОДЕЛЬ_1 (2)_PREDEL.JKH.UTV.2011(v1.0.1)_INDEX.STATION.2012(v1.0)__OREP.SZPR.2012.NCZ(v1.0)" xfId="547"/>
    <cellStyle name="_МОДЕЛЬ_1 (2)_PREDEL.JKH.UTV.2011(v1.0.1)_INDEX.STATION.2012(v2.0)" xfId="548"/>
    <cellStyle name="_МОДЕЛЬ_1 (2)_PREDEL.JKH.UTV.2011(v1.0.1)_INDEX.STATION.2012(v2.0)_OREP.SZPR.2012.NCZ(v1.0)" xfId="549"/>
    <cellStyle name="_МОДЕЛЬ_1 (2)_PREDEL.JKH.UTV.2011(v1.0.1)_INDEX.STATION.2012(v2.1)" xfId="550"/>
    <cellStyle name="_МОДЕЛЬ_1 (2)_PREDEL.JKH.UTV.2011(v1.0.1)_OREP.SZPR.2012.NCZ(v1.0)" xfId="551"/>
    <cellStyle name="_МОДЕЛЬ_1 (2)_PREDEL.JKH.UTV.2011(v1.0.1)_TEPLO.PREDEL.2012.M(v1.1)_test" xfId="552"/>
    <cellStyle name="_МОДЕЛЬ_1 (2)_PREDEL.JKH.UTV.2011(v1.1)" xfId="553"/>
    <cellStyle name="_МОДЕЛЬ_1 (2)_PREDEL.JKH.UTV.2011(v1.1)_FORM5.2012(v1.0)" xfId="554"/>
    <cellStyle name="_МОДЕЛЬ_1 (2)_PREDEL.JKH.UTV.2011(v1.1)_OREP.INV.GEN.G(v1.0)" xfId="555"/>
    <cellStyle name="_МОДЕЛЬ_1 (2)_PREDEL.JKH.UTV.2011(v1.1)_OREP.SZPR.2012.NCZ(v1.0)" xfId="556"/>
    <cellStyle name="_МОДЕЛЬ_1 (2)_REP.BLR.2012(v1.0)" xfId="557"/>
    <cellStyle name="_МОДЕЛЬ_1 (2)_TEHSHEET" xfId="558"/>
    <cellStyle name="_МОДЕЛЬ_1 (2)_TEPLO.PREDEL.2012.M(v1.1)" xfId="559"/>
    <cellStyle name="_МОДЕЛЬ_1 (2)_TEST.TEMPLATE" xfId="560"/>
    <cellStyle name="_МОДЕЛЬ_1 (2)_TEST.TEMPLATE_OREP.SZPR.2012.NCZ(v1.0)" xfId="561"/>
    <cellStyle name="_МОДЕЛЬ_1 (2)_UPDATE.46EE.2011.TO.1.1" xfId="562"/>
    <cellStyle name="_МОДЕЛЬ_1 (2)_UPDATE.46EE.2011.TO.1.1_OREP.SZPR.2012.NCZ(v1.0)" xfId="563"/>
    <cellStyle name="_МОДЕЛЬ_1 (2)_UPDATE.46TE.2011.TO.1.1" xfId="564"/>
    <cellStyle name="_МОДЕЛЬ_1 (2)_UPDATE.46TE.2011.TO.1.2" xfId="565"/>
    <cellStyle name="_МОДЕЛЬ_1 (2)_UPDATE.BALANCE.WARM.2011YEAR.TO.1.1" xfId="566"/>
    <cellStyle name="_МОДЕЛЬ_1 (2)_UPDATE.BALANCE.WARM.2011YEAR.TO.1.1_46TE.2011(v1.0)" xfId="567"/>
    <cellStyle name="_МОДЕЛЬ_1 (2)_UPDATE.BALANCE.WARM.2011YEAR.TO.1.1_INDEX.STATION.2012(v1.0)_" xfId="568"/>
    <cellStyle name="_МОДЕЛЬ_1 (2)_UPDATE.BALANCE.WARM.2011YEAR.TO.1.1_INDEX.STATION.2012(v1.0)__OREP.SZPR.2012.NCZ(v1.0)" xfId="569"/>
    <cellStyle name="_МОДЕЛЬ_1 (2)_UPDATE.BALANCE.WARM.2011YEAR.TO.1.1_INDEX.STATION.2012(v2.0)" xfId="570"/>
    <cellStyle name="_МОДЕЛЬ_1 (2)_UPDATE.BALANCE.WARM.2011YEAR.TO.1.1_INDEX.STATION.2012(v2.0)_OREP.SZPR.2012.NCZ(v1.0)" xfId="571"/>
    <cellStyle name="_МОДЕЛЬ_1 (2)_UPDATE.BALANCE.WARM.2011YEAR.TO.1.1_INDEX.STATION.2012(v2.1)" xfId="572"/>
    <cellStyle name="_МОДЕЛЬ_1 (2)_UPDATE.BALANCE.WARM.2011YEAR.TO.1.1_OREP.KU.2011.MONTHLY.02(v1.1)" xfId="573"/>
    <cellStyle name="_МОДЕЛЬ_1 (2)_UPDATE.BALANCE.WARM.2011YEAR.TO.1.1_OREP.KU.2011.MONTHLY.02(v1.1)_OREP.SZPR.2012.NCZ(v1.0)" xfId="574"/>
    <cellStyle name="_МОДЕЛЬ_1 (2)_UPDATE.BALANCE.WARM.2011YEAR.TO.1.1_OREP.SZPR.2012.NCZ(v1.0)" xfId="575"/>
    <cellStyle name="_МОДЕЛЬ_1 (2)_UPDATE.BALANCE.WARM.2011YEAR.TO.1.1_TEPLO.PREDEL.2012.M(v1.1)_test" xfId="576"/>
    <cellStyle name="_МОДЕЛЬ_1 (2)_UPDATE.BALANCE.WARM.2011YEAR.TO.1.2" xfId="577"/>
    <cellStyle name="_МОДЕЛЬ_1 (2)_UPDATE.BALANCE.WARM.2011YEAR.TO.1.4.64" xfId="578"/>
    <cellStyle name="_МОДЕЛЬ_1 (2)_UPDATE.BALANCE.WARM.2011YEAR.TO.1.5.64" xfId="579"/>
    <cellStyle name="_МОДЕЛЬ_1 (2)_UPDATE.NADB.JNVLS.APTEKA.2011.TO.1.3.4" xfId="580"/>
    <cellStyle name="_МОДЕЛЬ_1 (2)_UPDATE.NADB.JNVLS.APTEKA.2011.TO.1.3.4_OREP.SZPR.2012.NCZ(v1.0)" xfId="581"/>
    <cellStyle name="_МОДЕЛЬ_1 (2)_Книга2_PR.PROG.WARM.NOTCOMBI.2012.2.16_v1.4(04.04.11) " xfId="582"/>
    <cellStyle name="_НВВ 2009 постатейно свод по филиалам_09_02_09" xfId="583"/>
    <cellStyle name="_НВВ 2009 постатейно свод по филиалам_09_02_09_Новая инструкция1_фст" xfId="584"/>
    <cellStyle name="_НВВ 2009 постатейно свод по филиалам_для Валентина" xfId="585"/>
    <cellStyle name="_НВВ 2009 постатейно свод по филиалам_для Валентина_Новая инструкция1_фст" xfId="586"/>
    <cellStyle name="_ОКОНЧАТЕЛЬНО БП 2007 ОАО СЭ v1" xfId="587"/>
    <cellStyle name="_Омск" xfId="588"/>
    <cellStyle name="_Омск_Новая инструкция1_фст" xfId="589"/>
    <cellStyle name="_ОТ ИД 2009" xfId="590"/>
    <cellStyle name="_ОТ ИД 2009_Новая инструкция1_фст" xfId="591"/>
    <cellStyle name="_отдано в РЭК сводный план ИП 2007 300606" xfId="592"/>
    <cellStyle name="_пр 5 тариф RAB" xfId="593"/>
    <cellStyle name="_пр 5 тариф RAB 2" xfId="594"/>
    <cellStyle name="_пр 5 тариф RAB 2_CALC.VS.2013.PLAN(v1.0) (2)" xfId="595"/>
    <cellStyle name="_пр 5 тариф RAB 2_OREP.KU.2011.MONTHLY.02(v0.1)" xfId="596"/>
    <cellStyle name="_пр 5 тариф RAB 2_OREP.KU.2011.MONTHLY.02(v0.1)_OREP.SZPR.2012.NCZ(v1.0)" xfId="597"/>
    <cellStyle name="_пр 5 тариф RAB 2_OREP.KU.2011.MONTHLY.02(v0.4)" xfId="598"/>
    <cellStyle name="_пр 5 тариф RAB 2_OREP.KU.2011.MONTHLY.02(v0.4)_OREP.SZPR.2012.NCZ(v1.0)" xfId="599"/>
    <cellStyle name="_пр 5 тариф RAB 2_OREP.KU.2011.MONTHLY.11(v1.4)" xfId="600"/>
    <cellStyle name="_пр 5 тариф RAB 2_OREP.KU.2011.MONTHLY.11(v1.4)_OREP.SZPR.2012.NCZ(v1.0)" xfId="601"/>
    <cellStyle name="_пр 5 тариф RAB 2_OREP.KU.2011.MONTHLY.11(v1.4)_UPDATE.BALANCE.WARM.2012YEAR.TO.1.1" xfId="602"/>
    <cellStyle name="_пр 5 тариф RAB 2_OREP.SZPR.2012.NCZ(v1.0)" xfId="603"/>
    <cellStyle name="_пр 5 тариф RAB 2_PORT.PRICE(v0.3)" xfId="604"/>
    <cellStyle name="_пр 5 тариф RAB 2_UPDATE.BALANCE.WARM.2012YEAR.TO.1.1" xfId="605"/>
    <cellStyle name="_пр 5 тариф RAB 2_UPDATE.OREP.KU.2011.MONTHLY.02.TO.1.2" xfId="606"/>
    <cellStyle name="_пр 5 тариф RAB 2_UPDATE.OREP.KU.2011.MONTHLY.02.TO.1.2_OREP.SZPR.2012.NCZ(v1.0)" xfId="607"/>
    <cellStyle name="_пр 5 тариф RAB_46EE.2011(v1.0)" xfId="608"/>
    <cellStyle name="_пр 5 тариф RAB_46EE.2011(v1.0)_46TE.2011(v1.0)" xfId="609"/>
    <cellStyle name="_пр 5 тариф RAB_46EE.2011(v1.0)_INDEX.STATION.2012(v1.0)_" xfId="610"/>
    <cellStyle name="_пр 5 тариф RAB_46EE.2011(v1.0)_INDEX.STATION.2012(v1.0)__OREP.SZPR.2012.NCZ(v1.0)" xfId="611"/>
    <cellStyle name="_пр 5 тариф RAB_46EE.2011(v1.0)_INDEX.STATION.2012(v2.0)" xfId="612"/>
    <cellStyle name="_пр 5 тариф RAB_46EE.2011(v1.0)_INDEX.STATION.2012(v2.0)_OREP.SZPR.2012.NCZ(v1.0)" xfId="613"/>
    <cellStyle name="_пр 5 тариф RAB_46EE.2011(v1.0)_INDEX.STATION.2012(v2.1)" xfId="614"/>
    <cellStyle name="_пр 5 тариф RAB_46EE.2011(v1.0)_OREP.SZPR.2012.NCZ(v1.0)" xfId="615"/>
    <cellStyle name="_пр 5 тариф RAB_46EE.2011(v1.0)_TEPLO.PREDEL.2012.M(v1.1)_test" xfId="616"/>
    <cellStyle name="_пр 5 тариф RAB_46EE.2011(v1.2)" xfId="617"/>
    <cellStyle name="_пр 5 тариф RAB_46EE.2011(v1.2)_FORM5.2012(v1.0)" xfId="618"/>
    <cellStyle name="_пр 5 тариф RAB_46EE.2011(v1.2)_OREP.INV.GEN.G(v1.0)" xfId="619"/>
    <cellStyle name="_пр 5 тариф RAB_46EE.2011(v1.2)_OREP.SZPR.2012.NCZ(v1.0)" xfId="620"/>
    <cellStyle name="_пр 5 тариф RAB_46EP.2011(v2.0)" xfId="621"/>
    <cellStyle name="_пр 5 тариф RAB_46EP.2012(v0.1)" xfId="622"/>
    <cellStyle name="_пр 5 тариф RAB_46TE.2011(v1.0)" xfId="623"/>
    <cellStyle name="_пр 5 тариф RAB_4DNS.UPDATE.EXAMPLE" xfId="624"/>
    <cellStyle name="_пр 5 тариф RAB_ARMRAZR" xfId="625"/>
    <cellStyle name="_пр 5 тариф RAB_ARMRAZR_OREP.SZPR.2012.NCZ(v1.0)" xfId="626"/>
    <cellStyle name="_пр 5 тариф RAB_BALANCE.WARM.2010.FACT(v1.0)" xfId="627"/>
    <cellStyle name="_пр 5 тариф RAB_BALANCE.WARM.2010.FACT(v1.0)_OREP.SZPR.2012.NCZ(v1.0)" xfId="628"/>
    <cellStyle name="_пр 5 тариф RAB_BALANCE.WARM.2010.PLAN" xfId="629"/>
    <cellStyle name="_пр 5 тариф RAB_BALANCE.WARM.2010.PLAN_FORM5.2012(v1.0)" xfId="630"/>
    <cellStyle name="_пр 5 тариф RAB_BALANCE.WARM.2010.PLAN_OREP.INV.GEN.G(v1.0)" xfId="631"/>
    <cellStyle name="_пр 5 тариф RAB_BALANCE.WARM.2010.PLAN_OREP.SZPR.2012.NCZ(v1.0)" xfId="632"/>
    <cellStyle name="_пр 5 тариф RAB_BALANCE.WARM.2011YEAR(v0.7)" xfId="633"/>
    <cellStyle name="_пр 5 тариф RAB_BALANCE.WARM.2011YEAR(v0.7)_FORM5.2012(v1.0)" xfId="634"/>
    <cellStyle name="_пр 5 тариф RAB_BALANCE.WARM.2011YEAR(v0.7)_OREP.INV.GEN.G(v1.0)" xfId="635"/>
    <cellStyle name="_пр 5 тариф RAB_BALANCE.WARM.2011YEAR(v0.7)_OREP.SZPR.2012.NCZ(v1.0)" xfId="636"/>
    <cellStyle name="_пр 5 тариф RAB_BALANCE.WARM.2011YEAR.NEW.UPDATE.SCHEME" xfId="637"/>
    <cellStyle name="_пр 5 тариф RAB_BALANCE.WARM.2011YEAR.NEW.UPDATE.SCHEME_OREP.SZPR.2012.NCZ(v1.0)" xfId="638"/>
    <cellStyle name="_пр 5 тариф RAB_CALC.NORMATIV.KU(v0.2)" xfId="639"/>
    <cellStyle name="_пр 5 тариф RAB_CALC.VS.2013.PLAN(v1.0) (2)" xfId="640"/>
    <cellStyle name="_пр 5 тариф RAB_EE.2REK.P2011.4.78(v0.3)" xfId="641"/>
    <cellStyle name="_пр 5 тариф RAB_EE.2REK.P2011.4.78(v0.3)_OREP.SZPR.2012.NCZ(v1.0)" xfId="642"/>
    <cellStyle name="_пр 5 тариф RAB_FORM3.1.2013(v0.2)" xfId="643"/>
    <cellStyle name="_пр 5 тариф RAB_FORM3.2013(v1.0)" xfId="644"/>
    <cellStyle name="_пр 5 тариф RAB_FORM3.REG(v1.0)" xfId="645"/>
    <cellStyle name="_пр 5 тариф RAB_FORM910.2012(v0.5)" xfId="646"/>
    <cellStyle name="_пр 5 тариф RAB_FORM910.2012(v0.5)_FORM5.2012(v1.0)" xfId="647"/>
    <cellStyle name="_пр 5 тариф RAB_FORM910.2012(v1.1)" xfId="648"/>
    <cellStyle name="_пр 5 тариф RAB_FORM910.2012(v1.1)_OREP.SZPR.2012.NCZ(v1.0)" xfId="649"/>
    <cellStyle name="_пр 5 тариф RAB_FORMA23-N.ENRG.2011 (v0.1)" xfId="650"/>
    <cellStyle name="_пр 5 тариф RAB_FORMA23-N.ENRG.2011 (v0.1)_OREP.SZPR.2012.NCZ(v1.0)" xfId="651"/>
    <cellStyle name="_пр 5 тариф RAB_INVEST.EE.PLAN.4.78(v0.1)" xfId="652"/>
    <cellStyle name="_пр 5 тариф RAB_INVEST.EE.PLAN.4.78(v0.1)_OREP.SZPR.2012.NCZ(v1.0)" xfId="653"/>
    <cellStyle name="_пр 5 тариф RAB_INVEST.EE.PLAN.4.78(v0.3)" xfId="654"/>
    <cellStyle name="_пр 5 тариф RAB_INVEST.EE.PLAN.4.78(v0.3)_OREP.SZPR.2012.NCZ(v1.0)" xfId="655"/>
    <cellStyle name="_пр 5 тариф RAB_INVEST.EE.PLAN.4.78(v1.0)" xfId="656"/>
    <cellStyle name="_пр 5 тариф RAB_INVEST.EE.PLAN.4.78(v1.0)_FORM11.2013" xfId="657"/>
    <cellStyle name="_пр 5 тариф RAB_INVEST.EE.PLAN.4.78(v1.0)_OREP.SZPR.2012.NCZ(v1.0)" xfId="658"/>
    <cellStyle name="_пр 5 тариф RAB_INVEST.EE.PLAN.4.78(v1.0)_PASSPORT.TEPLO.PROIZV(v2.0)" xfId="659"/>
    <cellStyle name="_пр 5 тариф RAB_INVEST.EE.PLAN.4.78(v1.0)_PASSPORT.TEPLO.PROIZV(v2.0)_MWT.POTERI.SETI.2012(v0.1)" xfId="660"/>
    <cellStyle name="_пр 5 тариф RAB_INVEST.EE.PLAN.4.78(v1.0)_PASSPORT.TEPLO.PROIZV(v2.0)_PASSPORT.TEPLO.SETI(v2.0f)" xfId="661"/>
    <cellStyle name="_пр 5 тариф RAB_INVEST.EE.PLAN.4.78(v1.0)_PASSPORT.TEPLO.PROIZV(v2.0)_PASSPORT.TEPLO.SETI(v2.0f)_UPDATE.PASSPORT.TEPLO.PROIZV.TO.3.1" xfId="662"/>
    <cellStyle name="_пр 5 тариф RAB_INVEST.EE.PLAN.4.78(v1.0)_PASSPORT.TEPLO.SETI(v2.0f)" xfId="663"/>
    <cellStyle name="_пр 5 тариф RAB_INVEST.EE.PLAN.4.78(v1.0)_UPDATE.PASSPORT.TEPLO.PROIZV.TO.3.1" xfId="664"/>
    <cellStyle name="_пр 5 тариф RAB_INVEST.PLAN.4.78(v0.1)" xfId="665"/>
    <cellStyle name="_пр 5 тариф RAB_INVEST.PLAN.4.78(v0.1)_OREP.SZPR.2012.NCZ(v1.0)" xfId="666"/>
    <cellStyle name="_пр 5 тариф RAB_INVEST.WARM.PLAN.4.78(v0.1)" xfId="667"/>
    <cellStyle name="_пр 5 тариф RAB_INVEST.WARM.PLAN.4.78(v0.1)_OREP.SZPR.2012.NCZ(v1.0)" xfId="668"/>
    <cellStyle name="_пр 5 тариф RAB_INVEST_WARM_PLAN" xfId="669"/>
    <cellStyle name="_пр 5 тариф RAB_INVEST_WARM_PLAN_OREP.SZPR.2012.NCZ(v1.0)" xfId="670"/>
    <cellStyle name="_пр 5 тариф RAB_NADB.JNVLP.APTEKA.2012(v1.0)_21_02_12" xfId="671"/>
    <cellStyle name="_пр 5 тариф RAB_NADB.JNVLS.APTEKA.2011(v1.3.3)" xfId="672"/>
    <cellStyle name="_пр 5 тариф RAB_NADB.JNVLS.APTEKA.2011(v1.3.3)_46TE.2011(v1.0)" xfId="673"/>
    <cellStyle name="_пр 5 тариф RAB_NADB.JNVLS.APTEKA.2011(v1.3.3)_INDEX.STATION.2012(v1.0)_" xfId="674"/>
    <cellStyle name="_пр 5 тариф RAB_NADB.JNVLS.APTEKA.2011(v1.3.3)_INDEX.STATION.2012(v1.0)__OREP.SZPR.2012.NCZ(v1.0)" xfId="675"/>
    <cellStyle name="_пр 5 тариф RAB_NADB.JNVLS.APTEKA.2011(v1.3.3)_INDEX.STATION.2012(v2.0)" xfId="676"/>
    <cellStyle name="_пр 5 тариф RAB_NADB.JNVLS.APTEKA.2011(v1.3.3)_INDEX.STATION.2012(v2.0)_OREP.SZPR.2012.NCZ(v1.0)" xfId="677"/>
    <cellStyle name="_пр 5 тариф RAB_NADB.JNVLS.APTEKA.2011(v1.3.3)_INDEX.STATION.2012(v2.1)" xfId="678"/>
    <cellStyle name="_пр 5 тариф RAB_NADB.JNVLS.APTEKA.2011(v1.3.3)_OREP.SZPR.2012.NCZ(v1.0)" xfId="679"/>
    <cellStyle name="_пр 5 тариф RAB_NADB.JNVLS.APTEKA.2011(v1.3.3)_TEPLO.PREDEL.2012.M(v1.1)_test" xfId="680"/>
    <cellStyle name="_пр 5 тариф RAB_NADB.JNVLS.APTEKA.2011(v1.3.4)" xfId="681"/>
    <cellStyle name="_пр 5 тариф RAB_NADB.JNVLS.APTEKA.2011(v1.3.4)_46TE.2011(v1.0)" xfId="682"/>
    <cellStyle name="_пр 5 тариф RAB_NADB.JNVLS.APTEKA.2011(v1.3.4)_INDEX.STATION.2012(v1.0)_" xfId="683"/>
    <cellStyle name="_пр 5 тариф RAB_NADB.JNVLS.APTEKA.2011(v1.3.4)_INDEX.STATION.2012(v1.0)__OREP.SZPR.2012.NCZ(v1.0)" xfId="684"/>
    <cellStyle name="_пр 5 тариф RAB_NADB.JNVLS.APTEKA.2011(v1.3.4)_INDEX.STATION.2012(v2.0)" xfId="685"/>
    <cellStyle name="_пр 5 тариф RAB_NADB.JNVLS.APTEKA.2011(v1.3.4)_INDEX.STATION.2012(v2.0)_OREP.SZPR.2012.NCZ(v1.0)" xfId="686"/>
    <cellStyle name="_пр 5 тариф RAB_NADB.JNVLS.APTEKA.2011(v1.3.4)_INDEX.STATION.2012(v2.1)" xfId="687"/>
    <cellStyle name="_пр 5 тариф RAB_NADB.JNVLS.APTEKA.2011(v1.3.4)_OREP.SZPR.2012.NCZ(v1.0)" xfId="688"/>
    <cellStyle name="_пр 5 тариф RAB_NADB.JNVLS.APTEKA.2011(v1.3.4)_TEPLO.PREDEL.2012.M(v1.1)_test" xfId="689"/>
    <cellStyle name="_пр 5 тариф RAB_OREP.SZPR.2012.NCZ(v1.0)" xfId="690"/>
    <cellStyle name="_пр 5 тариф RAB_PASSPORT.TEPLO.PROIZV(v2.0)" xfId="691"/>
    <cellStyle name="_пр 5 тариф RAB_PASSPORT.TEPLO.PROIZV(v2.0)_OREP.SZPR.2012.NCZ(v1.0)" xfId="692"/>
    <cellStyle name="_пр 5 тариф RAB_PASSPORT.TEPLO.PROIZV(v2.1)" xfId="693"/>
    <cellStyle name="_пр 5 тариф RAB_PASSPORT.TEPLO.SETI(v1.0)" xfId="694"/>
    <cellStyle name="_пр 5 тариф RAB_PORT.PRICE(v0.3)" xfId="695"/>
    <cellStyle name="_пр 5 тариф RAB_PR.PROG.WARM.NOTCOMBI.2012.2.16_v1.4(04.04.11) " xfId="696"/>
    <cellStyle name="_пр 5 тариф RAB_PREDEL.JKH.UTV.2011(v1.0.1)" xfId="697"/>
    <cellStyle name="_пр 5 тариф RAB_PREDEL.JKH.UTV.2011(v1.0.1)_46TE.2011(v1.0)" xfId="698"/>
    <cellStyle name="_пр 5 тариф RAB_PREDEL.JKH.UTV.2011(v1.0.1)_INDEX.STATION.2012(v1.0)_" xfId="699"/>
    <cellStyle name="_пр 5 тариф RAB_PREDEL.JKH.UTV.2011(v1.0.1)_INDEX.STATION.2012(v1.0)__OREP.SZPR.2012.NCZ(v1.0)" xfId="700"/>
    <cellStyle name="_пр 5 тариф RAB_PREDEL.JKH.UTV.2011(v1.0.1)_INDEX.STATION.2012(v2.0)" xfId="701"/>
    <cellStyle name="_пр 5 тариф RAB_PREDEL.JKH.UTV.2011(v1.0.1)_INDEX.STATION.2012(v2.0)_OREP.SZPR.2012.NCZ(v1.0)" xfId="702"/>
    <cellStyle name="_пр 5 тариф RAB_PREDEL.JKH.UTV.2011(v1.0.1)_INDEX.STATION.2012(v2.1)" xfId="703"/>
    <cellStyle name="_пр 5 тариф RAB_PREDEL.JKH.UTV.2011(v1.0.1)_OREP.SZPR.2012.NCZ(v1.0)" xfId="704"/>
    <cellStyle name="_пр 5 тариф RAB_PREDEL.JKH.UTV.2011(v1.0.1)_TEPLO.PREDEL.2012.M(v1.1)_test" xfId="705"/>
    <cellStyle name="_пр 5 тариф RAB_PREDEL.JKH.UTV.2011(v1.1)" xfId="706"/>
    <cellStyle name="_пр 5 тариф RAB_PREDEL.JKH.UTV.2011(v1.1)_FORM5.2012(v1.0)" xfId="707"/>
    <cellStyle name="_пр 5 тариф RAB_PREDEL.JKH.UTV.2011(v1.1)_OREP.INV.GEN.G(v1.0)" xfId="708"/>
    <cellStyle name="_пр 5 тариф RAB_PREDEL.JKH.UTV.2011(v1.1)_OREP.SZPR.2012.NCZ(v1.0)" xfId="709"/>
    <cellStyle name="_пр 5 тариф RAB_REP.BLR.2012(v1.0)" xfId="710"/>
    <cellStyle name="_пр 5 тариф RAB_TEHSHEET" xfId="711"/>
    <cellStyle name="_пр 5 тариф RAB_TEPLO.PREDEL.2012.M(v1.1)" xfId="712"/>
    <cellStyle name="_пр 5 тариф RAB_TEST.TEMPLATE" xfId="713"/>
    <cellStyle name="_пр 5 тариф RAB_TEST.TEMPLATE_OREP.SZPR.2012.NCZ(v1.0)" xfId="714"/>
    <cellStyle name="_пр 5 тариф RAB_UPDATE.46EE.2011.TO.1.1" xfId="715"/>
    <cellStyle name="_пр 5 тариф RAB_UPDATE.46EE.2011.TO.1.1_OREP.SZPR.2012.NCZ(v1.0)" xfId="716"/>
    <cellStyle name="_пр 5 тариф RAB_UPDATE.46TE.2011.TO.1.1" xfId="717"/>
    <cellStyle name="_пр 5 тариф RAB_UPDATE.46TE.2011.TO.1.2" xfId="718"/>
    <cellStyle name="_пр 5 тариф RAB_UPDATE.BALANCE.WARM.2011YEAR.TO.1.1" xfId="719"/>
    <cellStyle name="_пр 5 тариф RAB_UPDATE.BALANCE.WARM.2011YEAR.TO.1.1_46TE.2011(v1.0)" xfId="720"/>
    <cellStyle name="_пр 5 тариф RAB_UPDATE.BALANCE.WARM.2011YEAR.TO.1.1_INDEX.STATION.2012(v1.0)_" xfId="721"/>
    <cellStyle name="_пр 5 тариф RAB_UPDATE.BALANCE.WARM.2011YEAR.TO.1.1_INDEX.STATION.2012(v1.0)__OREP.SZPR.2012.NCZ(v1.0)" xfId="722"/>
    <cellStyle name="_пр 5 тариф RAB_UPDATE.BALANCE.WARM.2011YEAR.TO.1.1_INDEX.STATION.2012(v2.0)" xfId="723"/>
    <cellStyle name="_пр 5 тариф RAB_UPDATE.BALANCE.WARM.2011YEAR.TO.1.1_INDEX.STATION.2012(v2.0)_OREP.SZPR.2012.NCZ(v1.0)" xfId="724"/>
    <cellStyle name="_пр 5 тариф RAB_UPDATE.BALANCE.WARM.2011YEAR.TO.1.1_INDEX.STATION.2012(v2.1)" xfId="725"/>
    <cellStyle name="_пр 5 тариф RAB_UPDATE.BALANCE.WARM.2011YEAR.TO.1.1_OREP.KU.2011.MONTHLY.02(v1.1)" xfId="726"/>
    <cellStyle name="_пр 5 тариф RAB_UPDATE.BALANCE.WARM.2011YEAR.TO.1.1_OREP.KU.2011.MONTHLY.02(v1.1)_OREP.SZPR.2012.NCZ(v1.0)" xfId="727"/>
    <cellStyle name="_пр 5 тариф RAB_UPDATE.BALANCE.WARM.2011YEAR.TO.1.1_OREP.SZPR.2012.NCZ(v1.0)" xfId="728"/>
    <cellStyle name="_пр 5 тариф RAB_UPDATE.BALANCE.WARM.2011YEAR.TO.1.1_TEPLO.PREDEL.2012.M(v1.1)_test" xfId="729"/>
    <cellStyle name="_пр 5 тариф RAB_UPDATE.BALANCE.WARM.2011YEAR.TO.1.2" xfId="730"/>
    <cellStyle name="_пр 5 тариф RAB_UPDATE.BALANCE.WARM.2011YEAR.TO.1.4.64" xfId="731"/>
    <cellStyle name="_пр 5 тариф RAB_UPDATE.BALANCE.WARM.2011YEAR.TO.1.5.64" xfId="732"/>
    <cellStyle name="_пр 5 тариф RAB_UPDATE.NADB.JNVLS.APTEKA.2011.TO.1.3.4" xfId="733"/>
    <cellStyle name="_пр 5 тариф RAB_UPDATE.NADB.JNVLS.APTEKA.2011.TO.1.3.4_OREP.SZPR.2012.NCZ(v1.0)" xfId="734"/>
    <cellStyle name="_пр 5 тариф RAB_Книга2_PR.PROG.WARM.NOTCOMBI.2012.2.16_v1.4(04.04.11) " xfId="735"/>
    <cellStyle name="_Предожение _ДБП_2009 г ( согласованные БП)  (2)" xfId="736"/>
    <cellStyle name="_Предожение _ДБП_2009 г ( согласованные БП)  (2)_Новая инструкция1_фст" xfId="737"/>
    <cellStyle name="_Прик РКС-265-п от 21.11.2005г. прил 1 к Регламенту" xfId="738"/>
    <cellStyle name="_ПРИЛ. 2003_ЧТЭ" xfId="739"/>
    <cellStyle name="_Приложение 2 0806 факт" xfId="740"/>
    <cellStyle name="_Приложение МТС-3-КС" xfId="741"/>
    <cellStyle name="_Приложение МТС-3-КС_Новая инструкция1_фст" xfId="742"/>
    <cellStyle name="_Приложение откр." xfId="743"/>
    <cellStyle name="_Приложение3_к_Регламенту_ЭХ_ФорматLife-Book_наш" xfId="744"/>
    <cellStyle name="_Приложение-МТС--2-1" xfId="745"/>
    <cellStyle name="_Приложение-МТС--2-1_Новая инструкция1_фст" xfId="746"/>
    <cellStyle name="_проект_инвест_программы_2" xfId="747"/>
    <cellStyle name="_ПФ14" xfId="748"/>
    <cellStyle name="_Разбивка БП под  формат  Сибири" xfId="749"/>
    <cellStyle name="_Расчет CASHFLOW по Казначейству" xfId="750"/>
    <cellStyle name="_Расчет RAB_22072008" xfId="751"/>
    <cellStyle name="_Расчет RAB_22072008 2" xfId="752"/>
    <cellStyle name="_Расчет RAB_22072008 2_CALC.VS.2013.PLAN(v1.0) (2)" xfId="753"/>
    <cellStyle name="_Расчет RAB_22072008 2_OREP.KU.2011.MONTHLY.02(v0.1)" xfId="754"/>
    <cellStyle name="_Расчет RAB_22072008 2_OREP.KU.2011.MONTHLY.02(v0.1)_OREP.SZPR.2012.NCZ(v1.0)" xfId="755"/>
    <cellStyle name="_Расчет RAB_22072008 2_OREP.KU.2011.MONTHLY.02(v0.4)" xfId="756"/>
    <cellStyle name="_Расчет RAB_22072008 2_OREP.KU.2011.MONTHLY.02(v0.4)_OREP.SZPR.2012.NCZ(v1.0)" xfId="757"/>
    <cellStyle name="_Расчет RAB_22072008 2_OREP.KU.2011.MONTHLY.11(v1.4)" xfId="758"/>
    <cellStyle name="_Расчет RAB_22072008 2_OREP.KU.2011.MONTHLY.11(v1.4)_OREP.SZPR.2012.NCZ(v1.0)" xfId="759"/>
    <cellStyle name="_Расчет RAB_22072008 2_OREP.KU.2011.MONTHLY.11(v1.4)_UPDATE.BALANCE.WARM.2012YEAR.TO.1.1" xfId="760"/>
    <cellStyle name="_Расчет RAB_22072008 2_OREP.SZPR.2012.NCZ(v1.0)" xfId="761"/>
    <cellStyle name="_Расчет RAB_22072008 2_PORT.PRICE(v0.3)" xfId="762"/>
    <cellStyle name="_Расчет RAB_22072008 2_UPDATE.BALANCE.WARM.2012YEAR.TO.1.1" xfId="763"/>
    <cellStyle name="_Расчет RAB_22072008 2_UPDATE.OREP.KU.2011.MONTHLY.02.TO.1.2" xfId="764"/>
    <cellStyle name="_Расчет RAB_22072008 2_UPDATE.OREP.KU.2011.MONTHLY.02.TO.1.2_OREP.SZPR.2012.NCZ(v1.0)" xfId="765"/>
    <cellStyle name="_Расчет RAB_22072008_46EE.2011(v1.0)" xfId="766"/>
    <cellStyle name="_Расчет RAB_22072008_46EE.2011(v1.0)_46TE.2011(v1.0)" xfId="767"/>
    <cellStyle name="_Расчет RAB_22072008_46EE.2011(v1.0)_INDEX.STATION.2012(v1.0)_" xfId="768"/>
    <cellStyle name="_Расчет RAB_22072008_46EE.2011(v1.0)_INDEX.STATION.2012(v1.0)__OREP.SZPR.2012.NCZ(v1.0)" xfId="769"/>
    <cellStyle name="_Расчет RAB_22072008_46EE.2011(v1.0)_INDEX.STATION.2012(v2.0)" xfId="770"/>
    <cellStyle name="_Расчет RAB_22072008_46EE.2011(v1.0)_INDEX.STATION.2012(v2.0)_OREP.SZPR.2012.NCZ(v1.0)" xfId="771"/>
    <cellStyle name="_Расчет RAB_22072008_46EE.2011(v1.0)_INDEX.STATION.2012(v2.1)" xfId="772"/>
    <cellStyle name="_Расчет RAB_22072008_46EE.2011(v1.0)_OREP.SZPR.2012.NCZ(v1.0)" xfId="773"/>
    <cellStyle name="_Расчет RAB_22072008_46EE.2011(v1.0)_TEPLO.PREDEL.2012.M(v1.1)_test" xfId="774"/>
    <cellStyle name="_Расчет RAB_22072008_46EE.2011(v1.2)" xfId="775"/>
    <cellStyle name="_Расчет RAB_22072008_46EE.2011(v1.2)_FORM5.2012(v1.0)" xfId="776"/>
    <cellStyle name="_Расчет RAB_22072008_46EE.2011(v1.2)_OREP.INV.GEN.G(v1.0)" xfId="777"/>
    <cellStyle name="_Расчет RAB_22072008_46EE.2011(v1.2)_OREP.SZPR.2012.NCZ(v1.0)" xfId="778"/>
    <cellStyle name="_Расчет RAB_22072008_46EP.2011(v2.0)" xfId="779"/>
    <cellStyle name="_Расчет RAB_22072008_46EP.2012(v0.1)" xfId="780"/>
    <cellStyle name="_Расчет RAB_22072008_46TE.2011(v1.0)" xfId="781"/>
    <cellStyle name="_Расчет RAB_22072008_4DNS.UPDATE.EXAMPLE" xfId="782"/>
    <cellStyle name="_Расчет RAB_22072008_ARMRAZR" xfId="783"/>
    <cellStyle name="_Расчет RAB_22072008_ARMRAZR_OREP.SZPR.2012.NCZ(v1.0)" xfId="784"/>
    <cellStyle name="_Расчет RAB_22072008_BALANCE.WARM.2010.FACT(v1.0)" xfId="785"/>
    <cellStyle name="_Расчет RAB_22072008_BALANCE.WARM.2010.FACT(v1.0)_OREP.SZPR.2012.NCZ(v1.0)" xfId="786"/>
    <cellStyle name="_Расчет RAB_22072008_BALANCE.WARM.2010.PLAN" xfId="787"/>
    <cellStyle name="_Расчет RAB_22072008_BALANCE.WARM.2010.PLAN_FORM5.2012(v1.0)" xfId="788"/>
    <cellStyle name="_Расчет RAB_22072008_BALANCE.WARM.2010.PLAN_OREP.INV.GEN.G(v1.0)" xfId="789"/>
    <cellStyle name="_Расчет RAB_22072008_BALANCE.WARM.2010.PLAN_OREP.SZPR.2012.NCZ(v1.0)" xfId="790"/>
    <cellStyle name="_Расчет RAB_22072008_BALANCE.WARM.2011YEAR(v0.7)" xfId="791"/>
    <cellStyle name="_Расчет RAB_22072008_BALANCE.WARM.2011YEAR(v0.7)_FORM5.2012(v1.0)" xfId="792"/>
    <cellStyle name="_Расчет RAB_22072008_BALANCE.WARM.2011YEAR(v0.7)_OREP.INV.GEN.G(v1.0)" xfId="793"/>
    <cellStyle name="_Расчет RAB_22072008_BALANCE.WARM.2011YEAR(v0.7)_OREP.SZPR.2012.NCZ(v1.0)" xfId="794"/>
    <cellStyle name="_Расчет RAB_22072008_BALANCE.WARM.2011YEAR.NEW.UPDATE.SCHEME" xfId="795"/>
    <cellStyle name="_Расчет RAB_22072008_BALANCE.WARM.2011YEAR.NEW.UPDATE.SCHEME_OREP.SZPR.2012.NCZ(v1.0)" xfId="796"/>
    <cellStyle name="_Расчет RAB_22072008_CALC.NORMATIV.KU(v0.2)" xfId="797"/>
    <cellStyle name="_Расчет RAB_22072008_CALC.VS.2013.PLAN(v1.0) (2)" xfId="798"/>
    <cellStyle name="_Расчет RAB_22072008_EE.2REK.P2011.4.78(v0.3)" xfId="799"/>
    <cellStyle name="_Расчет RAB_22072008_EE.2REK.P2011.4.78(v0.3)_OREP.SZPR.2012.NCZ(v1.0)" xfId="800"/>
    <cellStyle name="_Расчет RAB_22072008_FORM3.1.2013(v0.2)" xfId="801"/>
    <cellStyle name="_Расчет RAB_22072008_FORM3.2013(v1.0)" xfId="802"/>
    <cellStyle name="_Расчет RAB_22072008_FORM3.REG(v1.0)" xfId="803"/>
    <cellStyle name="_Расчет RAB_22072008_FORM910.2012(v0.5)" xfId="804"/>
    <cellStyle name="_Расчет RAB_22072008_FORM910.2012(v0.5)_FORM5.2012(v1.0)" xfId="805"/>
    <cellStyle name="_Расчет RAB_22072008_FORM910.2012(v1.1)" xfId="806"/>
    <cellStyle name="_Расчет RAB_22072008_FORM910.2012(v1.1)_OREP.SZPR.2012.NCZ(v1.0)" xfId="807"/>
    <cellStyle name="_Расчет RAB_22072008_FORMA23-N.ENRG.2011 (v0.1)" xfId="808"/>
    <cellStyle name="_Расчет RAB_22072008_FORMA23-N.ENRG.2011 (v0.1)_OREP.SZPR.2012.NCZ(v1.0)" xfId="809"/>
    <cellStyle name="_Расчет RAB_22072008_INVEST.EE.PLAN.4.78(v0.1)" xfId="810"/>
    <cellStyle name="_Расчет RAB_22072008_INVEST.EE.PLAN.4.78(v0.1)_OREP.SZPR.2012.NCZ(v1.0)" xfId="811"/>
    <cellStyle name="_Расчет RAB_22072008_INVEST.EE.PLAN.4.78(v0.3)" xfId="812"/>
    <cellStyle name="_Расчет RAB_22072008_INVEST.EE.PLAN.4.78(v0.3)_OREP.SZPR.2012.NCZ(v1.0)" xfId="813"/>
    <cellStyle name="_Расчет RAB_22072008_INVEST.EE.PLAN.4.78(v1.0)" xfId="814"/>
    <cellStyle name="_Расчет RAB_22072008_INVEST.EE.PLAN.4.78(v1.0)_FORM11.2013" xfId="815"/>
    <cellStyle name="_Расчет RAB_22072008_INVEST.EE.PLAN.4.78(v1.0)_OREP.SZPR.2012.NCZ(v1.0)" xfId="816"/>
    <cellStyle name="_Расчет RAB_22072008_INVEST.EE.PLAN.4.78(v1.0)_PASSPORT.TEPLO.PROIZV(v2.0)" xfId="817"/>
    <cellStyle name="_Расчет RAB_22072008_INVEST.EE.PLAN.4.78(v1.0)_PASSPORT.TEPLO.PROIZV(v2.0)_MWT.POTERI.SETI.2012(v0.1)" xfId="818"/>
    <cellStyle name="_Расчет RAB_22072008_INVEST.EE.PLAN.4.78(v1.0)_PASSPORT.TEPLO.PROIZV(v2.0)_PASSPORT.TEPLO.SETI(v2.0f)" xfId="819"/>
    <cellStyle name="_Расчет RAB_22072008_INVEST.EE.PLAN.4.78(v1.0)_PASSPORT.TEPLO.PROIZV(v2.0)_PASSPORT.TEPLO.SETI(v2.0f)_UPDATE.PASSPORT.TEPLO.PROIZV.TO.3.1" xfId="820"/>
    <cellStyle name="_Расчет RAB_22072008_INVEST.EE.PLAN.4.78(v1.0)_PASSPORT.TEPLO.SETI(v2.0f)" xfId="821"/>
    <cellStyle name="_Расчет RAB_22072008_INVEST.EE.PLAN.4.78(v1.0)_UPDATE.PASSPORT.TEPLO.PROIZV.TO.3.1" xfId="822"/>
    <cellStyle name="_Расчет RAB_22072008_INVEST.PLAN.4.78(v0.1)" xfId="823"/>
    <cellStyle name="_Расчет RAB_22072008_INVEST.PLAN.4.78(v0.1)_OREP.SZPR.2012.NCZ(v1.0)" xfId="824"/>
    <cellStyle name="_Расчет RAB_22072008_INVEST.WARM.PLAN.4.78(v0.1)" xfId="825"/>
    <cellStyle name="_Расчет RAB_22072008_INVEST.WARM.PLAN.4.78(v0.1)_OREP.SZPR.2012.NCZ(v1.0)" xfId="826"/>
    <cellStyle name="_Расчет RAB_22072008_INVEST_WARM_PLAN" xfId="827"/>
    <cellStyle name="_Расчет RAB_22072008_INVEST_WARM_PLAN_OREP.SZPR.2012.NCZ(v1.0)" xfId="828"/>
    <cellStyle name="_Расчет RAB_22072008_NADB.JNVLP.APTEKA.2012(v1.0)_21_02_12" xfId="829"/>
    <cellStyle name="_Расчет RAB_22072008_NADB.JNVLS.APTEKA.2011(v1.3.3)" xfId="830"/>
    <cellStyle name="_Расчет RAB_22072008_NADB.JNVLS.APTEKA.2011(v1.3.3)_46TE.2011(v1.0)" xfId="831"/>
    <cellStyle name="_Расчет RAB_22072008_NADB.JNVLS.APTEKA.2011(v1.3.3)_INDEX.STATION.2012(v1.0)_" xfId="832"/>
    <cellStyle name="_Расчет RAB_22072008_NADB.JNVLS.APTEKA.2011(v1.3.3)_INDEX.STATION.2012(v1.0)__OREP.SZPR.2012.NCZ(v1.0)" xfId="833"/>
    <cellStyle name="_Расчет RAB_22072008_NADB.JNVLS.APTEKA.2011(v1.3.3)_INDEX.STATION.2012(v2.0)" xfId="834"/>
    <cellStyle name="_Расчет RAB_22072008_NADB.JNVLS.APTEKA.2011(v1.3.3)_INDEX.STATION.2012(v2.0)_OREP.SZPR.2012.NCZ(v1.0)" xfId="835"/>
    <cellStyle name="_Расчет RAB_22072008_NADB.JNVLS.APTEKA.2011(v1.3.3)_INDEX.STATION.2012(v2.1)" xfId="836"/>
    <cellStyle name="_Расчет RAB_22072008_NADB.JNVLS.APTEKA.2011(v1.3.3)_OREP.SZPR.2012.NCZ(v1.0)" xfId="837"/>
    <cellStyle name="_Расчет RAB_22072008_NADB.JNVLS.APTEKA.2011(v1.3.3)_TEPLO.PREDEL.2012.M(v1.1)_test" xfId="838"/>
    <cellStyle name="_Расчет RAB_22072008_NADB.JNVLS.APTEKA.2011(v1.3.4)" xfId="839"/>
    <cellStyle name="_Расчет RAB_22072008_NADB.JNVLS.APTEKA.2011(v1.3.4)_46TE.2011(v1.0)" xfId="840"/>
    <cellStyle name="_Расчет RAB_22072008_NADB.JNVLS.APTEKA.2011(v1.3.4)_INDEX.STATION.2012(v1.0)_" xfId="841"/>
    <cellStyle name="_Расчет RAB_22072008_NADB.JNVLS.APTEKA.2011(v1.3.4)_INDEX.STATION.2012(v1.0)__OREP.SZPR.2012.NCZ(v1.0)" xfId="842"/>
    <cellStyle name="_Расчет RAB_22072008_NADB.JNVLS.APTEKA.2011(v1.3.4)_INDEX.STATION.2012(v2.0)" xfId="843"/>
    <cellStyle name="_Расчет RAB_22072008_NADB.JNVLS.APTEKA.2011(v1.3.4)_INDEX.STATION.2012(v2.0)_OREP.SZPR.2012.NCZ(v1.0)" xfId="844"/>
    <cellStyle name="_Расчет RAB_22072008_NADB.JNVLS.APTEKA.2011(v1.3.4)_INDEX.STATION.2012(v2.1)" xfId="845"/>
    <cellStyle name="_Расчет RAB_22072008_NADB.JNVLS.APTEKA.2011(v1.3.4)_OREP.SZPR.2012.NCZ(v1.0)" xfId="846"/>
    <cellStyle name="_Расчет RAB_22072008_NADB.JNVLS.APTEKA.2011(v1.3.4)_TEPLO.PREDEL.2012.M(v1.1)_test" xfId="847"/>
    <cellStyle name="_Расчет RAB_22072008_OREP.SZPR.2012.NCZ(v1.0)" xfId="848"/>
    <cellStyle name="_Расчет RAB_22072008_PASSPORT.TEPLO.PROIZV(v2.0)" xfId="849"/>
    <cellStyle name="_Расчет RAB_22072008_PASSPORT.TEPLO.PROIZV(v2.0)_OREP.SZPR.2012.NCZ(v1.0)" xfId="850"/>
    <cellStyle name="_Расчет RAB_22072008_PASSPORT.TEPLO.PROIZV(v2.1)" xfId="851"/>
    <cellStyle name="_Расчет RAB_22072008_PASSPORT.TEPLO.SETI(v1.0)" xfId="852"/>
    <cellStyle name="_Расчет RAB_22072008_PORT.PRICE(v0.3)" xfId="853"/>
    <cellStyle name="_Расчет RAB_22072008_PR.PROG.WARM.NOTCOMBI.2012.2.16_v1.4(04.04.11) " xfId="854"/>
    <cellStyle name="_Расчет RAB_22072008_PREDEL.JKH.UTV.2011(v1.0.1)" xfId="855"/>
    <cellStyle name="_Расчет RAB_22072008_PREDEL.JKH.UTV.2011(v1.0.1)_46TE.2011(v1.0)" xfId="856"/>
    <cellStyle name="_Расчет RAB_22072008_PREDEL.JKH.UTV.2011(v1.0.1)_INDEX.STATION.2012(v1.0)_" xfId="857"/>
    <cellStyle name="_Расчет RAB_22072008_PREDEL.JKH.UTV.2011(v1.0.1)_INDEX.STATION.2012(v1.0)__OREP.SZPR.2012.NCZ(v1.0)" xfId="858"/>
    <cellStyle name="_Расчет RAB_22072008_PREDEL.JKH.UTV.2011(v1.0.1)_INDEX.STATION.2012(v2.0)" xfId="859"/>
    <cellStyle name="_Расчет RAB_22072008_PREDEL.JKH.UTV.2011(v1.0.1)_INDEX.STATION.2012(v2.0)_OREP.SZPR.2012.NCZ(v1.0)" xfId="860"/>
    <cellStyle name="_Расчет RAB_22072008_PREDEL.JKH.UTV.2011(v1.0.1)_INDEX.STATION.2012(v2.1)" xfId="861"/>
    <cellStyle name="_Расчет RAB_22072008_PREDEL.JKH.UTV.2011(v1.0.1)_OREP.SZPR.2012.NCZ(v1.0)" xfId="862"/>
    <cellStyle name="_Расчет RAB_22072008_PREDEL.JKH.UTV.2011(v1.0.1)_TEPLO.PREDEL.2012.M(v1.1)_test" xfId="863"/>
    <cellStyle name="_Расчет RAB_22072008_PREDEL.JKH.UTV.2011(v1.1)" xfId="864"/>
    <cellStyle name="_Расчет RAB_22072008_PREDEL.JKH.UTV.2011(v1.1)_FORM5.2012(v1.0)" xfId="865"/>
    <cellStyle name="_Расчет RAB_22072008_PREDEL.JKH.UTV.2011(v1.1)_OREP.INV.GEN.G(v1.0)" xfId="866"/>
    <cellStyle name="_Расчет RAB_22072008_PREDEL.JKH.UTV.2011(v1.1)_OREP.SZPR.2012.NCZ(v1.0)" xfId="867"/>
    <cellStyle name="_Расчет RAB_22072008_REP.BLR.2012(v1.0)" xfId="868"/>
    <cellStyle name="_Расчет RAB_22072008_TEHSHEET" xfId="869"/>
    <cellStyle name="_Расчет RAB_22072008_TEPLO.PREDEL.2012.M(v1.1)" xfId="870"/>
    <cellStyle name="_Расчет RAB_22072008_TEST.TEMPLATE" xfId="871"/>
    <cellStyle name="_Расчет RAB_22072008_TEST.TEMPLATE_OREP.SZPR.2012.NCZ(v1.0)" xfId="872"/>
    <cellStyle name="_Расчет RAB_22072008_UPDATE.46EE.2011.TO.1.1" xfId="873"/>
    <cellStyle name="_Расчет RAB_22072008_UPDATE.46EE.2011.TO.1.1_OREP.SZPR.2012.NCZ(v1.0)" xfId="874"/>
    <cellStyle name="_Расчет RAB_22072008_UPDATE.46TE.2011.TO.1.1" xfId="875"/>
    <cellStyle name="_Расчет RAB_22072008_UPDATE.46TE.2011.TO.1.2" xfId="876"/>
    <cellStyle name="_Расчет RAB_22072008_UPDATE.BALANCE.WARM.2011YEAR.TO.1.1" xfId="877"/>
    <cellStyle name="_Расчет RAB_22072008_UPDATE.BALANCE.WARM.2011YEAR.TO.1.1_46TE.2011(v1.0)" xfId="878"/>
    <cellStyle name="_Расчет RAB_22072008_UPDATE.BALANCE.WARM.2011YEAR.TO.1.1_INDEX.STATION.2012(v1.0)_" xfId="879"/>
    <cellStyle name="_Расчет RAB_22072008_UPDATE.BALANCE.WARM.2011YEAR.TO.1.1_INDEX.STATION.2012(v1.0)__OREP.SZPR.2012.NCZ(v1.0)" xfId="880"/>
    <cellStyle name="_Расчет RAB_22072008_UPDATE.BALANCE.WARM.2011YEAR.TO.1.1_INDEX.STATION.2012(v2.0)" xfId="881"/>
    <cellStyle name="_Расчет RAB_22072008_UPDATE.BALANCE.WARM.2011YEAR.TO.1.1_INDEX.STATION.2012(v2.0)_OREP.SZPR.2012.NCZ(v1.0)" xfId="882"/>
    <cellStyle name="_Расчет RAB_22072008_UPDATE.BALANCE.WARM.2011YEAR.TO.1.1_INDEX.STATION.2012(v2.1)" xfId="883"/>
    <cellStyle name="_Расчет RAB_22072008_UPDATE.BALANCE.WARM.2011YEAR.TO.1.1_OREP.KU.2011.MONTHLY.02(v1.1)" xfId="884"/>
    <cellStyle name="_Расчет RAB_22072008_UPDATE.BALANCE.WARM.2011YEAR.TO.1.1_OREP.KU.2011.MONTHLY.02(v1.1)_OREP.SZPR.2012.NCZ(v1.0)" xfId="885"/>
    <cellStyle name="_Расчет RAB_22072008_UPDATE.BALANCE.WARM.2011YEAR.TO.1.1_OREP.SZPR.2012.NCZ(v1.0)" xfId="886"/>
    <cellStyle name="_Расчет RAB_22072008_UPDATE.BALANCE.WARM.2011YEAR.TO.1.1_TEPLO.PREDEL.2012.M(v1.1)_test" xfId="887"/>
    <cellStyle name="_Расчет RAB_22072008_UPDATE.BALANCE.WARM.2011YEAR.TO.1.2" xfId="888"/>
    <cellStyle name="_Расчет RAB_22072008_UPDATE.BALANCE.WARM.2011YEAR.TO.1.4.64" xfId="889"/>
    <cellStyle name="_Расчет RAB_22072008_UPDATE.BALANCE.WARM.2011YEAR.TO.1.5.64" xfId="890"/>
    <cellStyle name="_Расчет RAB_22072008_UPDATE.NADB.JNVLS.APTEKA.2011.TO.1.3.4" xfId="891"/>
    <cellStyle name="_Расчет RAB_22072008_UPDATE.NADB.JNVLS.APTEKA.2011.TO.1.3.4_OREP.SZPR.2012.NCZ(v1.0)" xfId="892"/>
    <cellStyle name="_Расчет RAB_22072008_Книга2_PR.PROG.WARM.NOTCOMBI.2012.2.16_v1.4(04.04.11) " xfId="893"/>
    <cellStyle name="_Расчет RAB_Лен и МОЭСК_с 2010 года_14.04.2009_со сглаж_version 3.0_без ФСК" xfId="894"/>
    <cellStyle name="_Расчет RAB_Лен и МОЭСК_с 2010 года_14.04.2009_со сглаж_version 3.0_без ФСК 2" xfId="895"/>
    <cellStyle name="_Расчет RAB_Лен и МОЭСК_с 2010 года_14.04.2009_со сглаж_version 3.0_без ФСК 2_CALC.VS.2013.PLAN(v1.0) (2)" xfId="896"/>
    <cellStyle name="_Расчет RAB_Лен и МОЭСК_с 2010 года_14.04.2009_со сглаж_version 3.0_без ФСК 2_OREP.KU.2011.MONTHLY.02(v0.1)" xfId="897"/>
    <cellStyle name="_Расчет RAB_Лен и МОЭСК_с 2010 года_14.04.2009_со сглаж_version 3.0_без ФСК 2_OREP.KU.2011.MONTHLY.02(v0.1)_OREP.SZPR.2012.NCZ(v1.0)" xfId="898"/>
    <cellStyle name="_Расчет RAB_Лен и МОЭСК_с 2010 года_14.04.2009_со сглаж_version 3.0_без ФСК 2_OREP.KU.2011.MONTHLY.02(v0.4)" xfId="899"/>
    <cellStyle name="_Расчет RAB_Лен и МОЭСК_с 2010 года_14.04.2009_со сглаж_version 3.0_без ФСК 2_OREP.KU.2011.MONTHLY.02(v0.4)_OREP.SZPR.2012.NCZ(v1.0)" xfId="900"/>
    <cellStyle name="_Расчет RAB_Лен и МОЭСК_с 2010 года_14.04.2009_со сглаж_version 3.0_без ФСК 2_OREP.KU.2011.MONTHLY.11(v1.4)" xfId="901"/>
    <cellStyle name="_Расчет RAB_Лен и МОЭСК_с 2010 года_14.04.2009_со сглаж_version 3.0_без ФСК 2_OREP.KU.2011.MONTHLY.11(v1.4)_OREP.SZPR.2012.NCZ(v1.0)" xfId="902"/>
    <cellStyle name="_Расчет RAB_Лен и МОЭСК_с 2010 года_14.04.2009_со сглаж_version 3.0_без ФСК 2_OREP.KU.2011.MONTHLY.11(v1.4)_UPDATE.BALANCE.WARM.2012YEAR.TO.1.1" xfId="903"/>
    <cellStyle name="_Расчет RAB_Лен и МОЭСК_с 2010 года_14.04.2009_со сглаж_version 3.0_без ФСК 2_OREP.SZPR.2012.NCZ(v1.0)" xfId="904"/>
    <cellStyle name="_Расчет RAB_Лен и МОЭСК_с 2010 года_14.04.2009_со сглаж_version 3.0_без ФСК 2_PORT.PRICE(v0.3)" xfId="905"/>
    <cellStyle name="_Расчет RAB_Лен и МОЭСК_с 2010 года_14.04.2009_со сглаж_version 3.0_без ФСК 2_UPDATE.BALANCE.WARM.2012YEAR.TO.1.1" xfId="906"/>
    <cellStyle name="_Расчет RAB_Лен и МОЭСК_с 2010 года_14.04.2009_со сглаж_version 3.0_без ФСК 2_UPDATE.OREP.KU.2011.MONTHLY.02.TO.1.2" xfId="907"/>
    <cellStyle name="_Расчет RAB_Лен и МОЭСК_с 2010 года_14.04.2009_со сглаж_version 3.0_без ФСК 2_UPDATE.OREP.KU.2011.MONTHLY.02.TO.1.2_OREP.SZPR.2012.NCZ(v1.0)" xfId="908"/>
    <cellStyle name="_Расчет RAB_Лен и МОЭСК_с 2010 года_14.04.2009_со сглаж_version 3.0_без ФСК_46EE.2011(v1.0)" xfId="909"/>
    <cellStyle name="_Расчет RAB_Лен и МОЭСК_с 2010 года_14.04.2009_со сглаж_version 3.0_без ФСК_46EE.2011(v1.0)_46TE.2011(v1.0)" xfId="910"/>
    <cellStyle name="_Расчет RAB_Лен и МОЭСК_с 2010 года_14.04.2009_со сглаж_version 3.0_без ФСК_46EE.2011(v1.0)_INDEX.STATION.2012(v1.0)_" xfId="911"/>
    <cellStyle name="_Расчет RAB_Лен и МОЭСК_с 2010 года_14.04.2009_со сглаж_version 3.0_без ФСК_46EE.2011(v1.0)_INDEX.STATION.2012(v1.0)__OREP.SZPR.2012.NCZ(v1.0)" xfId="912"/>
    <cellStyle name="_Расчет RAB_Лен и МОЭСК_с 2010 года_14.04.2009_со сглаж_version 3.0_без ФСК_46EE.2011(v1.0)_INDEX.STATION.2012(v2.0)" xfId="913"/>
    <cellStyle name="_Расчет RAB_Лен и МОЭСК_с 2010 года_14.04.2009_со сглаж_version 3.0_без ФСК_46EE.2011(v1.0)_INDEX.STATION.2012(v2.0)_OREP.SZPR.2012.NCZ(v1.0)" xfId="914"/>
    <cellStyle name="_Расчет RAB_Лен и МОЭСК_с 2010 года_14.04.2009_со сглаж_version 3.0_без ФСК_46EE.2011(v1.0)_INDEX.STATION.2012(v2.1)" xfId="915"/>
    <cellStyle name="_Расчет RAB_Лен и МОЭСК_с 2010 года_14.04.2009_со сглаж_version 3.0_без ФСК_46EE.2011(v1.0)_OREP.SZPR.2012.NCZ(v1.0)" xfId="916"/>
    <cellStyle name="_Расчет RAB_Лен и МОЭСК_с 2010 года_14.04.2009_со сглаж_version 3.0_без ФСК_46EE.2011(v1.0)_TEPLO.PREDEL.2012.M(v1.1)_test" xfId="917"/>
    <cellStyle name="_Расчет RAB_Лен и МОЭСК_с 2010 года_14.04.2009_со сглаж_version 3.0_без ФСК_46EE.2011(v1.2)" xfId="918"/>
    <cellStyle name="_Расчет RAB_Лен и МОЭСК_с 2010 года_14.04.2009_со сглаж_version 3.0_без ФСК_46EE.2011(v1.2)_FORM5.2012(v1.0)" xfId="919"/>
    <cellStyle name="_Расчет RAB_Лен и МОЭСК_с 2010 года_14.04.2009_со сглаж_version 3.0_без ФСК_46EE.2011(v1.2)_OREP.INV.GEN.G(v1.0)" xfId="920"/>
    <cellStyle name="_Расчет RAB_Лен и МОЭСК_с 2010 года_14.04.2009_со сглаж_version 3.0_без ФСК_46EE.2011(v1.2)_OREP.SZPR.2012.NCZ(v1.0)" xfId="921"/>
    <cellStyle name="_Расчет RAB_Лен и МОЭСК_с 2010 года_14.04.2009_со сглаж_version 3.0_без ФСК_46EP.2011(v2.0)" xfId="922"/>
    <cellStyle name="_Расчет RAB_Лен и МОЭСК_с 2010 года_14.04.2009_со сглаж_version 3.0_без ФСК_46EP.2012(v0.1)" xfId="923"/>
    <cellStyle name="_Расчет RAB_Лен и МОЭСК_с 2010 года_14.04.2009_со сглаж_version 3.0_без ФСК_46TE.2011(v1.0)" xfId="924"/>
    <cellStyle name="_Расчет RAB_Лен и МОЭСК_с 2010 года_14.04.2009_со сглаж_version 3.0_без ФСК_4DNS.UPDATE.EXAMPLE" xfId="925"/>
    <cellStyle name="_Расчет RAB_Лен и МОЭСК_с 2010 года_14.04.2009_со сглаж_version 3.0_без ФСК_ARMRAZR" xfId="926"/>
    <cellStyle name="_Расчет RAB_Лен и МОЭСК_с 2010 года_14.04.2009_со сглаж_version 3.0_без ФСК_ARMRAZR_OREP.SZPR.2012.NCZ(v1.0)" xfId="927"/>
    <cellStyle name="_Расчет RAB_Лен и МОЭСК_с 2010 года_14.04.2009_со сглаж_version 3.0_без ФСК_BALANCE.WARM.2010.FACT(v1.0)" xfId="928"/>
    <cellStyle name="_Расчет RAB_Лен и МОЭСК_с 2010 года_14.04.2009_со сглаж_version 3.0_без ФСК_BALANCE.WARM.2010.FACT(v1.0)_OREP.SZPR.2012.NCZ(v1.0)" xfId="929"/>
    <cellStyle name="_Расчет RAB_Лен и МОЭСК_с 2010 года_14.04.2009_со сглаж_version 3.0_без ФСК_BALANCE.WARM.2010.PLAN" xfId="930"/>
    <cellStyle name="_Расчет RAB_Лен и МОЭСК_с 2010 года_14.04.2009_со сглаж_version 3.0_без ФСК_BALANCE.WARM.2010.PLAN_FORM5.2012(v1.0)" xfId="931"/>
    <cellStyle name="_Расчет RAB_Лен и МОЭСК_с 2010 года_14.04.2009_со сглаж_version 3.0_без ФСК_BALANCE.WARM.2010.PLAN_OREP.INV.GEN.G(v1.0)" xfId="932"/>
    <cellStyle name="_Расчет RAB_Лен и МОЭСК_с 2010 года_14.04.2009_со сглаж_version 3.0_без ФСК_BALANCE.WARM.2010.PLAN_OREP.SZPR.2012.NCZ(v1.0)" xfId="933"/>
    <cellStyle name="_Расчет RAB_Лен и МОЭСК_с 2010 года_14.04.2009_со сглаж_version 3.0_без ФСК_BALANCE.WARM.2011YEAR(v0.7)" xfId="934"/>
    <cellStyle name="_Расчет RAB_Лен и МОЭСК_с 2010 года_14.04.2009_со сглаж_version 3.0_без ФСК_BALANCE.WARM.2011YEAR(v0.7)_FORM5.2012(v1.0)" xfId="935"/>
    <cellStyle name="_Расчет RAB_Лен и МОЭСК_с 2010 года_14.04.2009_со сглаж_version 3.0_без ФСК_BALANCE.WARM.2011YEAR(v0.7)_OREP.INV.GEN.G(v1.0)" xfId="936"/>
    <cellStyle name="_Расчет RAB_Лен и МОЭСК_с 2010 года_14.04.2009_со сглаж_version 3.0_без ФСК_BALANCE.WARM.2011YEAR(v0.7)_OREP.SZPR.2012.NCZ(v1.0)" xfId="937"/>
    <cellStyle name="_Расчет RAB_Лен и МОЭСК_с 2010 года_14.04.2009_со сглаж_version 3.0_без ФСК_BALANCE.WARM.2011YEAR.NEW.UPDATE.SCHEME" xfId="938"/>
    <cellStyle name="_Расчет RAB_Лен и МОЭСК_с 2010 года_14.04.2009_со сглаж_version 3.0_без ФСК_BALANCE.WARM.2011YEAR.NEW.UPDATE.SCHEME_OREP.SZPR.2012.NCZ(v1.0)" xfId="939"/>
    <cellStyle name="_Расчет RAB_Лен и МОЭСК_с 2010 года_14.04.2009_со сглаж_version 3.0_без ФСК_CALC.NORMATIV.KU(v0.2)" xfId="940"/>
    <cellStyle name="_Расчет RAB_Лен и МОЭСК_с 2010 года_14.04.2009_со сглаж_version 3.0_без ФСК_CALC.VS.2013.PLAN(v1.0) (2)" xfId="941"/>
    <cellStyle name="_Расчет RAB_Лен и МОЭСК_с 2010 года_14.04.2009_со сглаж_version 3.0_без ФСК_EE.2REK.P2011.4.78(v0.3)" xfId="942"/>
    <cellStyle name="_Расчет RAB_Лен и МОЭСК_с 2010 года_14.04.2009_со сглаж_version 3.0_без ФСК_EE.2REK.P2011.4.78(v0.3)_OREP.SZPR.2012.NCZ(v1.0)" xfId="943"/>
    <cellStyle name="_Расчет RAB_Лен и МОЭСК_с 2010 года_14.04.2009_со сглаж_version 3.0_без ФСК_FORM3.1.2013(v0.2)" xfId="944"/>
    <cellStyle name="_Расчет RAB_Лен и МОЭСК_с 2010 года_14.04.2009_со сглаж_version 3.0_без ФСК_FORM3.2013(v1.0)" xfId="945"/>
    <cellStyle name="_Расчет RAB_Лен и МОЭСК_с 2010 года_14.04.2009_со сглаж_version 3.0_без ФСК_FORM3.REG(v1.0)" xfId="946"/>
    <cellStyle name="_Расчет RAB_Лен и МОЭСК_с 2010 года_14.04.2009_со сглаж_version 3.0_без ФСК_FORM910.2012(v0.5)" xfId="947"/>
    <cellStyle name="_Расчет RAB_Лен и МОЭСК_с 2010 года_14.04.2009_со сглаж_version 3.0_без ФСК_FORM910.2012(v0.5)_FORM5.2012(v1.0)" xfId="948"/>
    <cellStyle name="_Расчет RAB_Лен и МОЭСК_с 2010 года_14.04.2009_со сглаж_version 3.0_без ФСК_FORM910.2012(v1.1)" xfId="949"/>
    <cellStyle name="_Расчет RAB_Лен и МОЭСК_с 2010 года_14.04.2009_со сглаж_version 3.0_без ФСК_FORM910.2012(v1.1)_OREP.SZPR.2012.NCZ(v1.0)" xfId="950"/>
    <cellStyle name="_Расчет RAB_Лен и МОЭСК_с 2010 года_14.04.2009_со сглаж_version 3.0_без ФСК_FORMA23-N.ENRG.2011 (v0.1)" xfId="951"/>
    <cellStyle name="_Расчет RAB_Лен и МОЭСК_с 2010 года_14.04.2009_со сглаж_version 3.0_без ФСК_FORMA23-N.ENRG.2011 (v0.1)_OREP.SZPR.2012.NCZ(v1.0)" xfId="952"/>
    <cellStyle name="_Расчет RAB_Лен и МОЭСК_с 2010 года_14.04.2009_со сглаж_version 3.0_без ФСК_INVEST.EE.PLAN.4.78(v0.1)" xfId="953"/>
    <cellStyle name="_Расчет RAB_Лен и МОЭСК_с 2010 года_14.04.2009_со сглаж_version 3.0_без ФСК_INVEST.EE.PLAN.4.78(v0.1)_OREP.SZPR.2012.NCZ(v1.0)" xfId="954"/>
    <cellStyle name="_Расчет RAB_Лен и МОЭСК_с 2010 года_14.04.2009_со сглаж_version 3.0_без ФСК_INVEST.EE.PLAN.4.78(v0.3)" xfId="955"/>
    <cellStyle name="_Расчет RAB_Лен и МОЭСК_с 2010 года_14.04.2009_со сглаж_version 3.0_без ФСК_INVEST.EE.PLAN.4.78(v0.3)_OREP.SZPR.2012.NCZ(v1.0)" xfId="956"/>
    <cellStyle name="_Расчет RAB_Лен и МОЭСК_с 2010 года_14.04.2009_со сглаж_version 3.0_без ФСК_INVEST.EE.PLAN.4.78(v1.0)" xfId="957"/>
    <cellStyle name="_Расчет RAB_Лен и МОЭСК_с 2010 года_14.04.2009_со сглаж_version 3.0_без ФСК_INVEST.EE.PLAN.4.78(v1.0)_FORM11.2013" xfId="958"/>
    <cellStyle name="_Расчет RAB_Лен и МОЭСК_с 2010 года_14.04.2009_со сглаж_version 3.0_без ФСК_INVEST.EE.PLAN.4.78(v1.0)_OREP.SZPR.2012.NCZ(v1.0)" xfId="959"/>
    <cellStyle name="_Расчет RAB_Лен и МОЭСК_с 2010 года_14.04.2009_со сглаж_version 3.0_без ФСК_INVEST.EE.PLAN.4.78(v1.0)_PASSPORT.TEPLO.PROIZV(v2.0)" xfId="960"/>
    <cellStyle name="_Расчет RAB_Лен и МОЭСК_с 2010 года_14.04.2009_со сглаж_version 3.0_без ФСК_INVEST.EE.PLAN.4.78(v1.0)_PASSPORT.TEPLO.PROIZV(v2.0)_MWT.POTERI.SETI.2012(v0.1)" xfId="961"/>
    <cellStyle name="_Расчет RAB_Лен и МОЭСК_с 2010 года_14.04.2009_со сглаж_version 3.0_без ФСК_INVEST.EE.PLAN.4.78(v1.0)_PASSPORT.TEPLO.PROIZV(v2.0)_PASSPORT.TEPLO.SETI(v2.0f)" xfId="962"/>
    <cellStyle name="_Расчет RAB_Лен и МОЭСК_с 2010 года_14.04.2009_со сглаж_version 3.0_без ФСК_INVEST.EE.PLAN.4.78(v1.0)_PASSPORT.TEPLO.PROIZV(v2.0)_PASSPORT.TEPLO.SETI(v2.0f)_UPDATE.PASSPORT.TEPLO.PROIZV.TO.3.1" xfId="963"/>
    <cellStyle name="_Расчет RAB_Лен и МОЭСК_с 2010 года_14.04.2009_со сглаж_version 3.0_без ФСК_INVEST.EE.PLAN.4.78(v1.0)_PASSPORT.TEPLO.SETI(v2.0f)" xfId="964"/>
    <cellStyle name="_Расчет RAB_Лен и МОЭСК_с 2010 года_14.04.2009_со сглаж_version 3.0_без ФСК_INVEST.EE.PLAN.4.78(v1.0)_UPDATE.PASSPORT.TEPLO.PROIZV.TO.3.1" xfId="965"/>
    <cellStyle name="_Расчет RAB_Лен и МОЭСК_с 2010 года_14.04.2009_со сглаж_version 3.0_без ФСК_INVEST.PLAN.4.78(v0.1)" xfId="966"/>
    <cellStyle name="_Расчет RAB_Лен и МОЭСК_с 2010 года_14.04.2009_со сглаж_version 3.0_без ФСК_INVEST.PLAN.4.78(v0.1)_OREP.SZPR.2012.NCZ(v1.0)" xfId="967"/>
    <cellStyle name="_Расчет RAB_Лен и МОЭСК_с 2010 года_14.04.2009_со сглаж_version 3.0_без ФСК_INVEST.WARM.PLAN.4.78(v0.1)" xfId="968"/>
    <cellStyle name="_Расчет RAB_Лен и МОЭСК_с 2010 года_14.04.2009_со сглаж_version 3.0_без ФСК_INVEST.WARM.PLAN.4.78(v0.1)_OREP.SZPR.2012.NCZ(v1.0)" xfId="969"/>
    <cellStyle name="_Расчет RAB_Лен и МОЭСК_с 2010 года_14.04.2009_со сглаж_version 3.0_без ФСК_INVEST_WARM_PLAN" xfId="970"/>
    <cellStyle name="_Расчет RAB_Лен и МОЭСК_с 2010 года_14.04.2009_со сглаж_version 3.0_без ФСК_INVEST_WARM_PLAN_OREP.SZPR.2012.NCZ(v1.0)" xfId="971"/>
    <cellStyle name="_Расчет RAB_Лен и МОЭСК_с 2010 года_14.04.2009_со сглаж_version 3.0_без ФСК_NADB.JNVLP.APTEKA.2012(v1.0)_21_02_12" xfId="972"/>
    <cellStyle name="_Расчет RAB_Лен и МОЭСК_с 2010 года_14.04.2009_со сглаж_version 3.0_без ФСК_NADB.JNVLS.APTEKA.2011(v1.3.3)" xfId="973"/>
    <cellStyle name="_Расчет RAB_Лен и МОЭСК_с 2010 года_14.04.2009_со сглаж_version 3.0_без ФСК_NADB.JNVLS.APTEKA.2011(v1.3.3)_46TE.2011(v1.0)" xfId="974"/>
    <cellStyle name="_Расчет RAB_Лен и МОЭСК_с 2010 года_14.04.2009_со сглаж_version 3.0_без ФСК_NADB.JNVLS.APTEKA.2011(v1.3.3)_INDEX.STATION.2012(v1.0)_" xfId="975"/>
    <cellStyle name="_Расчет RAB_Лен и МОЭСК_с 2010 года_14.04.2009_со сглаж_version 3.0_без ФСК_NADB.JNVLS.APTEKA.2011(v1.3.3)_INDEX.STATION.2012(v1.0)__OREP.SZPR.2012.NCZ(v1.0)" xfId="976"/>
    <cellStyle name="_Расчет RAB_Лен и МОЭСК_с 2010 года_14.04.2009_со сглаж_version 3.0_без ФСК_NADB.JNVLS.APTEKA.2011(v1.3.3)_INDEX.STATION.2012(v2.0)" xfId="977"/>
    <cellStyle name="_Расчет RAB_Лен и МОЭСК_с 2010 года_14.04.2009_со сглаж_version 3.0_без ФСК_NADB.JNVLS.APTEKA.2011(v1.3.3)_INDEX.STATION.2012(v2.0)_OREP.SZPR.2012.NCZ(v1.0)" xfId="978"/>
    <cellStyle name="_Расчет RAB_Лен и МОЭСК_с 2010 года_14.04.2009_со сглаж_version 3.0_без ФСК_NADB.JNVLS.APTEKA.2011(v1.3.3)_INDEX.STATION.2012(v2.1)" xfId="979"/>
    <cellStyle name="_Расчет RAB_Лен и МОЭСК_с 2010 года_14.04.2009_со сглаж_version 3.0_без ФСК_NADB.JNVLS.APTEKA.2011(v1.3.3)_OREP.SZPR.2012.NCZ(v1.0)" xfId="980"/>
    <cellStyle name="_Расчет RAB_Лен и МОЭСК_с 2010 года_14.04.2009_со сглаж_version 3.0_без ФСК_NADB.JNVLS.APTEKA.2011(v1.3.3)_TEPLO.PREDEL.2012.M(v1.1)_test" xfId="981"/>
    <cellStyle name="_Расчет RAB_Лен и МОЭСК_с 2010 года_14.04.2009_со сглаж_version 3.0_без ФСК_NADB.JNVLS.APTEKA.2011(v1.3.4)" xfId="982"/>
    <cellStyle name="_Расчет RAB_Лен и МОЭСК_с 2010 года_14.04.2009_со сглаж_version 3.0_без ФСК_NADB.JNVLS.APTEKA.2011(v1.3.4)_46TE.2011(v1.0)" xfId="983"/>
    <cellStyle name="_Расчет RAB_Лен и МОЭСК_с 2010 года_14.04.2009_со сглаж_version 3.0_без ФСК_NADB.JNVLS.APTEKA.2011(v1.3.4)_INDEX.STATION.2012(v1.0)_" xfId="984"/>
    <cellStyle name="_Расчет RAB_Лен и МОЭСК_с 2010 года_14.04.2009_со сглаж_version 3.0_без ФСК_NADB.JNVLS.APTEKA.2011(v1.3.4)_INDEX.STATION.2012(v1.0)__OREP.SZPR.2012.NCZ(v1.0)" xfId="985"/>
    <cellStyle name="_Расчет RAB_Лен и МОЭСК_с 2010 года_14.04.2009_со сглаж_version 3.0_без ФСК_NADB.JNVLS.APTEKA.2011(v1.3.4)_INDEX.STATION.2012(v2.0)" xfId="986"/>
    <cellStyle name="_Расчет RAB_Лен и МОЭСК_с 2010 года_14.04.2009_со сглаж_version 3.0_без ФСК_NADB.JNVLS.APTEKA.2011(v1.3.4)_INDEX.STATION.2012(v2.0)_OREP.SZPR.2012.NCZ(v1.0)" xfId="987"/>
    <cellStyle name="_Расчет RAB_Лен и МОЭСК_с 2010 года_14.04.2009_со сглаж_version 3.0_без ФСК_NADB.JNVLS.APTEKA.2011(v1.3.4)_INDEX.STATION.2012(v2.1)" xfId="988"/>
    <cellStyle name="_Расчет RAB_Лен и МОЭСК_с 2010 года_14.04.2009_со сглаж_version 3.0_без ФСК_NADB.JNVLS.APTEKA.2011(v1.3.4)_OREP.SZPR.2012.NCZ(v1.0)" xfId="989"/>
    <cellStyle name="_Расчет RAB_Лен и МОЭСК_с 2010 года_14.04.2009_со сглаж_version 3.0_без ФСК_NADB.JNVLS.APTEKA.2011(v1.3.4)_TEPLO.PREDEL.2012.M(v1.1)_test" xfId="990"/>
    <cellStyle name="_Расчет RAB_Лен и МОЭСК_с 2010 года_14.04.2009_со сглаж_version 3.0_без ФСК_OREP.SZPR.2012.NCZ(v1.0)" xfId="991"/>
    <cellStyle name="_Расчет RAB_Лен и МОЭСК_с 2010 года_14.04.2009_со сглаж_version 3.0_без ФСК_PASSPORT.TEPLO.PROIZV(v2.0)" xfId="992"/>
    <cellStyle name="_Расчет RAB_Лен и МОЭСК_с 2010 года_14.04.2009_со сглаж_version 3.0_без ФСК_PASSPORT.TEPLO.PROIZV(v2.0)_OREP.SZPR.2012.NCZ(v1.0)" xfId="993"/>
    <cellStyle name="_Расчет RAB_Лен и МОЭСК_с 2010 года_14.04.2009_со сглаж_version 3.0_без ФСК_PASSPORT.TEPLO.PROIZV(v2.1)" xfId="994"/>
    <cellStyle name="_Расчет RAB_Лен и МОЭСК_с 2010 года_14.04.2009_со сглаж_version 3.0_без ФСК_PASSPORT.TEPLO.SETI(v1.0)" xfId="995"/>
    <cellStyle name="_Расчет RAB_Лен и МОЭСК_с 2010 года_14.04.2009_со сглаж_version 3.0_без ФСК_PORT.PRICE(v0.3)" xfId="996"/>
    <cellStyle name="_Расчет RAB_Лен и МОЭСК_с 2010 года_14.04.2009_со сглаж_version 3.0_без ФСК_PR.PROG.WARM.NOTCOMBI.2012.2.16_v1.4(04.04.11) " xfId="997"/>
    <cellStyle name="_Расчет RAB_Лен и МОЭСК_с 2010 года_14.04.2009_со сглаж_version 3.0_без ФСК_PREDEL.JKH.UTV.2011(v1.0.1)" xfId="998"/>
    <cellStyle name="_Расчет RAB_Лен и МОЭСК_с 2010 года_14.04.2009_со сглаж_version 3.0_без ФСК_PREDEL.JKH.UTV.2011(v1.0.1)_46TE.2011(v1.0)" xfId="999"/>
    <cellStyle name="_Расчет RAB_Лен и МОЭСК_с 2010 года_14.04.2009_со сглаж_version 3.0_без ФСК_PREDEL.JKH.UTV.2011(v1.0.1)_INDEX.STATION.2012(v1.0)_" xfId="1000"/>
    <cellStyle name="_Расчет RAB_Лен и МОЭСК_с 2010 года_14.04.2009_со сглаж_version 3.0_без ФСК_PREDEL.JKH.UTV.2011(v1.0.1)_INDEX.STATION.2012(v1.0)__OREP.SZPR.2012.NCZ(v1.0)" xfId="1001"/>
    <cellStyle name="_Расчет RAB_Лен и МОЭСК_с 2010 года_14.04.2009_со сглаж_version 3.0_без ФСК_PREDEL.JKH.UTV.2011(v1.0.1)_INDEX.STATION.2012(v2.0)" xfId="1002"/>
    <cellStyle name="_Расчет RAB_Лен и МОЭСК_с 2010 года_14.04.2009_со сглаж_version 3.0_без ФСК_PREDEL.JKH.UTV.2011(v1.0.1)_INDEX.STATION.2012(v2.0)_OREP.SZPR.2012.NCZ(v1.0)" xfId="1003"/>
    <cellStyle name="_Расчет RAB_Лен и МОЭСК_с 2010 года_14.04.2009_со сглаж_version 3.0_без ФСК_PREDEL.JKH.UTV.2011(v1.0.1)_INDEX.STATION.2012(v2.1)" xfId="1004"/>
    <cellStyle name="_Расчет RAB_Лен и МОЭСК_с 2010 года_14.04.2009_со сглаж_version 3.0_без ФСК_PREDEL.JKH.UTV.2011(v1.0.1)_OREP.SZPR.2012.NCZ(v1.0)" xfId="1005"/>
    <cellStyle name="_Расчет RAB_Лен и МОЭСК_с 2010 года_14.04.2009_со сглаж_version 3.0_без ФСК_PREDEL.JKH.UTV.2011(v1.0.1)_TEPLO.PREDEL.2012.M(v1.1)_test" xfId="1006"/>
    <cellStyle name="_Расчет RAB_Лен и МОЭСК_с 2010 года_14.04.2009_со сглаж_version 3.0_без ФСК_PREDEL.JKH.UTV.2011(v1.1)" xfId="1007"/>
    <cellStyle name="_Расчет RAB_Лен и МОЭСК_с 2010 года_14.04.2009_со сглаж_version 3.0_без ФСК_PREDEL.JKH.UTV.2011(v1.1)_FORM5.2012(v1.0)" xfId="1008"/>
    <cellStyle name="_Расчет RAB_Лен и МОЭСК_с 2010 года_14.04.2009_со сглаж_version 3.0_без ФСК_PREDEL.JKH.UTV.2011(v1.1)_OREP.INV.GEN.G(v1.0)" xfId="1009"/>
    <cellStyle name="_Расчет RAB_Лен и МОЭСК_с 2010 года_14.04.2009_со сглаж_version 3.0_без ФСК_PREDEL.JKH.UTV.2011(v1.1)_OREP.SZPR.2012.NCZ(v1.0)" xfId="1010"/>
    <cellStyle name="_Расчет RAB_Лен и МОЭСК_с 2010 года_14.04.2009_со сглаж_version 3.0_без ФСК_REP.BLR.2012(v1.0)" xfId="1011"/>
    <cellStyle name="_Расчет RAB_Лен и МОЭСК_с 2010 года_14.04.2009_со сглаж_version 3.0_без ФСК_TEHSHEET" xfId="1012"/>
    <cellStyle name="_Расчет RAB_Лен и МОЭСК_с 2010 года_14.04.2009_со сглаж_version 3.0_без ФСК_TEPLO.PREDEL.2012.M(v1.1)" xfId="1013"/>
    <cellStyle name="_Расчет RAB_Лен и МОЭСК_с 2010 года_14.04.2009_со сглаж_version 3.0_без ФСК_TEST.TEMPLATE" xfId="1014"/>
    <cellStyle name="_Расчет RAB_Лен и МОЭСК_с 2010 года_14.04.2009_со сглаж_version 3.0_без ФСК_TEST.TEMPLATE_OREP.SZPR.2012.NCZ(v1.0)" xfId="1015"/>
    <cellStyle name="_Расчет RAB_Лен и МОЭСК_с 2010 года_14.04.2009_со сглаж_version 3.0_без ФСК_UPDATE.46EE.2011.TO.1.1" xfId="1016"/>
    <cellStyle name="_Расчет RAB_Лен и МОЭСК_с 2010 года_14.04.2009_со сглаж_version 3.0_без ФСК_UPDATE.46EE.2011.TO.1.1_OREP.SZPR.2012.NCZ(v1.0)" xfId="1017"/>
    <cellStyle name="_Расчет RAB_Лен и МОЭСК_с 2010 года_14.04.2009_со сглаж_version 3.0_без ФСК_UPDATE.46TE.2011.TO.1.1" xfId="1018"/>
    <cellStyle name="_Расчет RAB_Лен и МОЭСК_с 2010 года_14.04.2009_со сглаж_version 3.0_без ФСК_UPDATE.46TE.2011.TO.1.2" xfId="1019"/>
    <cellStyle name="_Расчет RAB_Лен и МОЭСК_с 2010 года_14.04.2009_со сглаж_version 3.0_без ФСК_UPDATE.BALANCE.WARM.2011YEAR.TO.1.1" xfId="1020"/>
    <cellStyle name="_Расчет RAB_Лен и МОЭСК_с 2010 года_14.04.2009_со сглаж_version 3.0_без ФСК_UPDATE.BALANCE.WARM.2011YEAR.TO.1.1_46TE.2011(v1.0)" xfId="1021"/>
    <cellStyle name="_Расчет RAB_Лен и МОЭСК_с 2010 года_14.04.2009_со сглаж_version 3.0_без ФСК_UPDATE.BALANCE.WARM.2011YEAR.TO.1.1_INDEX.STATION.2012(v1.0)_" xfId="1022"/>
    <cellStyle name="_Расчет RAB_Лен и МОЭСК_с 2010 года_14.04.2009_со сглаж_version 3.0_без ФСК_UPDATE.BALANCE.WARM.2011YEAR.TO.1.1_INDEX.STATION.2012(v1.0)__OREP.SZPR.2012.NCZ(v1.0)" xfId="1023"/>
    <cellStyle name="_Расчет RAB_Лен и МОЭСК_с 2010 года_14.04.2009_со сглаж_version 3.0_без ФСК_UPDATE.BALANCE.WARM.2011YEAR.TO.1.1_INDEX.STATION.2012(v2.0)" xfId="1024"/>
    <cellStyle name="_Расчет RAB_Лен и МОЭСК_с 2010 года_14.04.2009_со сглаж_version 3.0_без ФСК_UPDATE.BALANCE.WARM.2011YEAR.TO.1.1_INDEX.STATION.2012(v2.0)_OREP.SZPR.2012.NCZ(v1.0)" xfId="1025"/>
    <cellStyle name="_Расчет RAB_Лен и МОЭСК_с 2010 года_14.04.2009_со сглаж_version 3.0_без ФСК_UPDATE.BALANCE.WARM.2011YEAR.TO.1.1_INDEX.STATION.2012(v2.1)" xfId="1026"/>
    <cellStyle name="_Расчет RAB_Лен и МОЭСК_с 2010 года_14.04.2009_со сглаж_version 3.0_без ФСК_UPDATE.BALANCE.WARM.2011YEAR.TO.1.1_OREP.KU.2011.MONTHLY.02(v1.1)" xfId="1027"/>
    <cellStyle name="_Расчет RAB_Лен и МОЭСК_с 2010 года_14.04.2009_со сглаж_version 3.0_без ФСК_UPDATE.BALANCE.WARM.2011YEAR.TO.1.1_OREP.KU.2011.MONTHLY.02(v1.1)_OREP.SZPR.2012.NCZ(v1.0)" xfId="1028"/>
    <cellStyle name="_Расчет RAB_Лен и МОЭСК_с 2010 года_14.04.2009_со сглаж_version 3.0_без ФСК_UPDATE.BALANCE.WARM.2011YEAR.TO.1.1_OREP.SZPR.2012.NCZ(v1.0)" xfId="1029"/>
    <cellStyle name="_Расчет RAB_Лен и МОЭСК_с 2010 года_14.04.2009_со сглаж_version 3.0_без ФСК_UPDATE.BALANCE.WARM.2011YEAR.TO.1.1_TEPLO.PREDEL.2012.M(v1.1)_test" xfId="1030"/>
    <cellStyle name="_Расчет RAB_Лен и МОЭСК_с 2010 года_14.04.2009_со сглаж_version 3.0_без ФСК_UPDATE.BALANCE.WARM.2011YEAR.TO.1.2" xfId="1031"/>
    <cellStyle name="_Расчет RAB_Лен и МОЭСК_с 2010 года_14.04.2009_со сглаж_version 3.0_без ФСК_UPDATE.BALANCE.WARM.2011YEAR.TO.1.4.64" xfId="1032"/>
    <cellStyle name="_Расчет RAB_Лен и МОЭСК_с 2010 года_14.04.2009_со сглаж_version 3.0_без ФСК_UPDATE.BALANCE.WARM.2011YEAR.TO.1.5.64" xfId="1033"/>
    <cellStyle name="_Расчет RAB_Лен и МОЭСК_с 2010 года_14.04.2009_со сглаж_version 3.0_без ФСК_UPDATE.NADB.JNVLS.APTEKA.2011.TO.1.3.4" xfId="1034"/>
    <cellStyle name="_Расчет RAB_Лен и МОЭСК_с 2010 года_14.04.2009_со сглаж_version 3.0_без ФСК_UPDATE.NADB.JNVLS.APTEKA.2011.TO.1.3.4_OREP.SZPR.2012.NCZ(v1.0)" xfId="1035"/>
    <cellStyle name="_Расчет RAB_Лен и МОЭСК_с 2010 года_14.04.2009_со сглаж_version 3.0_без ФСК_Книга2_PR.PROG.WARM.NOTCOMBI.2012.2.16_v1.4(04.04.11) " xfId="1036"/>
    <cellStyle name="_Расшифровки_1кв_2002" xfId="1037"/>
    <cellStyle name="_Свод по ИПР (2)" xfId="1038"/>
    <cellStyle name="_Свод по ИПР (2)_Новая инструкция1_фст" xfId="1039"/>
    <cellStyle name="_Справочник затрат_ЛХ_20.10.05" xfId="1040"/>
    <cellStyle name="_Сценарные условия 04-06 гг6" xfId="1041"/>
    <cellStyle name="_таблицы для расчетов28-04-08_2006-2009_прибыль корр_по ИА" xfId="1042"/>
    <cellStyle name="_таблицы для расчетов28-04-08_2006-2009_прибыль корр_по ИА_Новая инструкция1_фст" xfId="1043"/>
    <cellStyle name="_таблицы для расчетов28-04-08_2006-2009с ИА" xfId="1044"/>
    <cellStyle name="_таблицы для расчетов28-04-08_2006-2009с ИА_Новая инструкция1_фст" xfId="1045"/>
    <cellStyle name="_Форма 6  РТК.xls(отчет по Адр пр. ЛО)" xfId="1046"/>
    <cellStyle name="_Форма 6  РТК.xls(отчет по Адр пр. ЛО)_Новая инструкция1_фст" xfId="1047"/>
    <cellStyle name="_Формат разбивки по МРСК_РСК" xfId="1048"/>
    <cellStyle name="_Формат разбивки по МРСК_РСК_Новая инструкция1_фст" xfId="1049"/>
    <cellStyle name="_Формат_для Согласования" xfId="1050"/>
    <cellStyle name="_Формат_для Согласования_Новая инструкция1_фст" xfId="1051"/>
    <cellStyle name="_Формы" xfId="1052"/>
    <cellStyle name="_Формы бюджетов ГРГ - версия 15_07" xfId="1053"/>
    <cellStyle name="_Формы бюджетов ГРГ 2005_06_21" xfId="1054"/>
    <cellStyle name="_Формы бюджетов РГК - версия 01_07" xfId="1055"/>
    <cellStyle name="_ХХХ Прил 2 Формы бюджетных документов 2007" xfId="1056"/>
    <cellStyle name="_Шаблон Загрузки SAP 2_08" xfId="1057"/>
    <cellStyle name="_экон.форм-т ВО 1 с разбивкой" xfId="1058"/>
    <cellStyle name="_экон.форм-т ВО 1 с разбивкой_Новая инструкция1_фст" xfId="1059"/>
    <cellStyle name="’К‰Э [0.00]" xfId="1060"/>
    <cellStyle name="”€ќђќ‘ћ‚›‰" xfId="1061"/>
    <cellStyle name="”€љ‘€ђћ‚ђќќ›‰" xfId="1062"/>
    <cellStyle name="”ќђќ‘ћ‚›‰" xfId="1063"/>
    <cellStyle name="”ќђќ‘ћ‚›‰ 2" xfId="1064"/>
    <cellStyle name="”ќђќ‘ћ‚›‰ 2 2" xfId="1065"/>
    <cellStyle name="”ќђќ‘ћ‚›‰ 2 3" xfId="1066"/>
    <cellStyle name="”ќђќ‘ћ‚›‰ 3" xfId="1067"/>
    <cellStyle name="”ќђќ‘ћ‚›‰ 4" xfId="1068"/>
    <cellStyle name="”ќђќ‘ћ‚›‰ 5" xfId="1069"/>
    <cellStyle name="”ќђќ‘ћ‚›‰ 6" xfId="1070"/>
    <cellStyle name="”ќђќ‘ћ‚›‰ 7" xfId="1071"/>
    <cellStyle name="”ќђќ‘ћ‚›‰ 8" xfId="1072"/>
    <cellStyle name="”ќђќ‘ћ‚›‰ 9" xfId="1073"/>
    <cellStyle name="”љ‘ђћ‚ђќќ›‰" xfId="1074"/>
    <cellStyle name="”љ‘ђћ‚ђќќ›‰ 2" xfId="1075"/>
    <cellStyle name="”љ‘ђћ‚ђќќ›‰ 2 2" xfId="1076"/>
    <cellStyle name="”љ‘ђћ‚ђќќ›‰ 2 3" xfId="1077"/>
    <cellStyle name="”љ‘ђћ‚ђќќ›‰ 3" xfId="1078"/>
    <cellStyle name="”љ‘ђћ‚ђќќ›‰ 4" xfId="1079"/>
    <cellStyle name="”љ‘ђћ‚ђќќ›‰ 5" xfId="1080"/>
    <cellStyle name="”љ‘ђћ‚ђќќ›‰ 6" xfId="1081"/>
    <cellStyle name="”љ‘ђћ‚ђќќ›‰ 7" xfId="1082"/>
    <cellStyle name="”љ‘ђћ‚ђќќ›‰ 8" xfId="1083"/>
    <cellStyle name="”љ‘ђћ‚ђќќ›‰ 9" xfId="1084"/>
    <cellStyle name="„…ќ…†ќ›‰" xfId="1085"/>
    <cellStyle name="„…ќ…†ќ›‰ 2" xfId="1086"/>
    <cellStyle name="„…ќ…†ќ›‰ 2 2" xfId="1087"/>
    <cellStyle name="„…ќ…†ќ›‰ 2 3" xfId="1088"/>
    <cellStyle name="„…ќ…†ќ›‰ 3" xfId="1089"/>
    <cellStyle name="„…ќ…†ќ›‰ 4" xfId="1090"/>
    <cellStyle name="„…ќ…†ќ›‰ 5" xfId="1091"/>
    <cellStyle name="„…ќ…†ќ›‰ 6" xfId="1092"/>
    <cellStyle name="„…ќ…†ќ›‰ 7" xfId="1093"/>
    <cellStyle name="„…ќ…†ќ›‰ 8" xfId="1094"/>
    <cellStyle name="„…ќ…†ќ›‰ 9" xfId="1095"/>
    <cellStyle name="„ђ’ђ" xfId="1096"/>
    <cellStyle name="€’ћѓћ‚›‰" xfId="1097"/>
    <cellStyle name="€’ћѓћ‚›‰ 2" xfId="1098"/>
    <cellStyle name="€’ћѓћ‚›‰ 3" xfId="1099"/>
    <cellStyle name="‡ђѓћ‹ћ‚ћљ1" xfId="1100"/>
    <cellStyle name="‡ђѓћ‹ћ‚ћљ2" xfId="1101"/>
    <cellStyle name="’ћѓћ‚›‰" xfId="1102"/>
    <cellStyle name="’ћѓћ‚›‰ 2" xfId="1103"/>
    <cellStyle name="’ћѓћ‚›‰ 3" xfId="1104"/>
    <cellStyle name="" xfId="1105"/>
    <cellStyle name="" xfId="1107"/>
    <cellStyle name="" xfId="1106"/>
    <cellStyle name="1" xfId="1108"/>
    <cellStyle name="2" xfId="1109"/>
    <cellStyle name="0,00;0;" xfId="1110"/>
    <cellStyle name="1Normal" xfId="1111"/>
    <cellStyle name="20% - Accent1" xfId="1112"/>
    <cellStyle name="20% - Accent1 2" xfId="1113"/>
    <cellStyle name="20% - Accent1 3" xfId="1114"/>
    <cellStyle name="20% - Accent1_46EE.2011(v1.0)" xfId="1115"/>
    <cellStyle name="20% - Accent2" xfId="1116"/>
    <cellStyle name="20% - Accent2 2" xfId="1117"/>
    <cellStyle name="20% - Accent2 3" xfId="1118"/>
    <cellStyle name="20% - Accent2_46EE.2011(v1.0)" xfId="1119"/>
    <cellStyle name="20% - Accent3" xfId="1120"/>
    <cellStyle name="20% - Accent3 2" xfId="1121"/>
    <cellStyle name="20% - Accent3 3" xfId="1122"/>
    <cellStyle name="20% - Accent3_46EE.2011(v1.0)" xfId="1123"/>
    <cellStyle name="20% - Accent4" xfId="1124"/>
    <cellStyle name="20% - Accent4 2" xfId="1125"/>
    <cellStyle name="20% - Accent4 3" xfId="1126"/>
    <cellStyle name="20% - Accent4_46EE.2011(v1.0)" xfId="1127"/>
    <cellStyle name="20% - Accent5" xfId="1128"/>
    <cellStyle name="20% - Accent5 2" xfId="1129"/>
    <cellStyle name="20% - Accent5 3" xfId="1130"/>
    <cellStyle name="20% - Accent5_46EE.2011(v1.0)" xfId="1131"/>
    <cellStyle name="20% - Accent6" xfId="1132"/>
    <cellStyle name="20% - Accent6 2" xfId="1133"/>
    <cellStyle name="20% - Accent6 3" xfId="1134"/>
    <cellStyle name="20% - Accent6_46EE.2011(v1.0)" xfId="1135"/>
    <cellStyle name="20% — акцент1" xfId="1136"/>
    <cellStyle name="20% - Акцент1 10" xfId="1137"/>
    <cellStyle name="20% - Акцент1 10 2" xfId="1138"/>
    <cellStyle name="20% - Акцент1 10 3" xfId="1139"/>
    <cellStyle name="20% - Акцент1 2" xfId="1140"/>
    <cellStyle name="20% - Акцент1 2 2" xfId="1141"/>
    <cellStyle name="20% - Акцент1 2 2 2" xfId="1142"/>
    <cellStyle name="20% - Акцент1 2 3" xfId="1143"/>
    <cellStyle name="20% - Акцент1 2_46EE.2011(v1.0)" xfId="1144"/>
    <cellStyle name="20% - Акцент1 3" xfId="1145"/>
    <cellStyle name="20% - Акцент1 3 2" xfId="1146"/>
    <cellStyle name="20% - Акцент1 3 2 2" xfId="1147"/>
    <cellStyle name="20% - Акцент1 3 3" xfId="1148"/>
    <cellStyle name="20% - Акцент1 3_46EE.2011(v1.0)" xfId="1149"/>
    <cellStyle name="20% - Акцент1 4" xfId="1150"/>
    <cellStyle name="20% - Акцент1 4 2" xfId="1151"/>
    <cellStyle name="20% - Акцент1 4 3" xfId="1152"/>
    <cellStyle name="20% - Акцент1 4_46EE.2011(v1.0)" xfId="1153"/>
    <cellStyle name="20% - Акцент1 5" xfId="1154"/>
    <cellStyle name="20% - Акцент1 5 2" xfId="1155"/>
    <cellStyle name="20% - Акцент1 5 3" xfId="1156"/>
    <cellStyle name="20% - Акцент1 5_46EE.2011(v1.0)" xfId="1157"/>
    <cellStyle name="20% - Акцент1 6" xfId="1158"/>
    <cellStyle name="20% - Акцент1 6 2" xfId="1159"/>
    <cellStyle name="20% - Акцент1 6 3" xfId="1160"/>
    <cellStyle name="20% - Акцент1 6_46EE.2011(v1.0)" xfId="1161"/>
    <cellStyle name="20% - Акцент1 7" xfId="1162"/>
    <cellStyle name="20% - Акцент1 7 2" xfId="1163"/>
    <cellStyle name="20% - Акцент1 7 2 2" xfId="1164"/>
    <cellStyle name="20% - Акцент1 7 3" xfId="1165"/>
    <cellStyle name="20% - Акцент1 7_46EE.2011(v1.0)" xfId="1166"/>
    <cellStyle name="20% - Акцент1 8" xfId="1167"/>
    <cellStyle name="20% - Акцент1 8 2" xfId="1168"/>
    <cellStyle name="20% - Акцент1 8 2 2" xfId="1169"/>
    <cellStyle name="20% - Акцент1 8 3" xfId="1170"/>
    <cellStyle name="20% - Акцент1 8_46EE.2011(v1.0)" xfId="1171"/>
    <cellStyle name="20% - Акцент1 9" xfId="1172"/>
    <cellStyle name="20% - Акцент1 9 2" xfId="1173"/>
    <cellStyle name="20% - Акцент1 9 2 2" xfId="1174"/>
    <cellStyle name="20% - Акцент1 9 3" xfId="1175"/>
    <cellStyle name="20% - Акцент1 9_46EE.2011(v1.0)" xfId="1176"/>
    <cellStyle name="20% — акцент2" xfId="1177"/>
    <cellStyle name="20% - Акцент2 10" xfId="1178"/>
    <cellStyle name="20% - Акцент2 10 2" xfId="1179"/>
    <cellStyle name="20% - Акцент2 10 3" xfId="1180"/>
    <cellStyle name="20% - Акцент2 2" xfId="1181"/>
    <cellStyle name="20% - Акцент2 2 2" xfId="1182"/>
    <cellStyle name="20% - Акцент2 2 2 2" xfId="1183"/>
    <cellStyle name="20% - Акцент2 2 3" xfId="1184"/>
    <cellStyle name="20% - Акцент2 2_46EE.2011(v1.0)" xfId="1185"/>
    <cellStyle name="20% - Акцент2 3" xfId="1186"/>
    <cellStyle name="20% - Акцент2 3 2" xfId="1187"/>
    <cellStyle name="20% - Акцент2 3 2 2" xfId="1188"/>
    <cellStyle name="20% - Акцент2 3 3" xfId="1189"/>
    <cellStyle name="20% - Акцент2 3_46EE.2011(v1.0)" xfId="1190"/>
    <cellStyle name="20% - Акцент2 4" xfId="1191"/>
    <cellStyle name="20% - Акцент2 4 2" xfId="1192"/>
    <cellStyle name="20% - Акцент2 4 3" xfId="1193"/>
    <cellStyle name="20% - Акцент2 4_46EE.2011(v1.0)" xfId="1194"/>
    <cellStyle name="20% - Акцент2 5" xfId="1195"/>
    <cellStyle name="20% - Акцент2 5 2" xfId="1196"/>
    <cellStyle name="20% - Акцент2 5 3" xfId="1197"/>
    <cellStyle name="20% - Акцент2 5_46EE.2011(v1.0)" xfId="1198"/>
    <cellStyle name="20% - Акцент2 6" xfId="1199"/>
    <cellStyle name="20% - Акцент2 6 2" xfId="1200"/>
    <cellStyle name="20% - Акцент2 6 3" xfId="1201"/>
    <cellStyle name="20% - Акцент2 6_46EE.2011(v1.0)" xfId="1202"/>
    <cellStyle name="20% - Акцент2 7" xfId="1203"/>
    <cellStyle name="20% - Акцент2 7 2" xfId="1204"/>
    <cellStyle name="20% - Акцент2 7 2 2" xfId="1205"/>
    <cellStyle name="20% - Акцент2 7 3" xfId="1206"/>
    <cellStyle name="20% - Акцент2 7_46EE.2011(v1.0)" xfId="1207"/>
    <cellStyle name="20% - Акцент2 8" xfId="1208"/>
    <cellStyle name="20% - Акцент2 8 2" xfId="1209"/>
    <cellStyle name="20% - Акцент2 8 2 2" xfId="1210"/>
    <cellStyle name="20% - Акцент2 8 3" xfId="1211"/>
    <cellStyle name="20% - Акцент2 8_46EE.2011(v1.0)" xfId="1212"/>
    <cellStyle name="20% - Акцент2 9" xfId="1213"/>
    <cellStyle name="20% - Акцент2 9 2" xfId="1214"/>
    <cellStyle name="20% - Акцент2 9 2 2" xfId="1215"/>
    <cellStyle name="20% - Акцент2 9 3" xfId="1216"/>
    <cellStyle name="20% - Акцент2 9_46EE.2011(v1.0)" xfId="1217"/>
    <cellStyle name="20% — акцент3" xfId="1218"/>
    <cellStyle name="20% - Акцент3 10" xfId="1219"/>
    <cellStyle name="20% - Акцент3 10 2" xfId="1220"/>
    <cellStyle name="20% - Акцент3 10 3" xfId="1221"/>
    <cellStyle name="20% - Акцент3 2" xfId="1222"/>
    <cellStyle name="20% - Акцент3 2 2" xfId="1223"/>
    <cellStyle name="20% - Акцент3 2 2 2" xfId="1224"/>
    <cellStyle name="20% - Акцент3 2 3" xfId="1225"/>
    <cellStyle name="20% - Акцент3 2_46EE.2011(v1.0)" xfId="1226"/>
    <cellStyle name="20% - Акцент3 3" xfId="1227"/>
    <cellStyle name="20% - Акцент3 3 2" xfId="1228"/>
    <cellStyle name="20% - Акцент3 3 2 2" xfId="1229"/>
    <cellStyle name="20% - Акцент3 3 3" xfId="1230"/>
    <cellStyle name="20% - Акцент3 3_46EE.2011(v1.0)" xfId="1231"/>
    <cellStyle name="20% - Акцент3 4" xfId="1232"/>
    <cellStyle name="20% - Акцент3 4 2" xfId="1233"/>
    <cellStyle name="20% - Акцент3 4 3" xfId="1234"/>
    <cellStyle name="20% - Акцент3 4_46EE.2011(v1.0)" xfId="1235"/>
    <cellStyle name="20% - Акцент3 5" xfId="1236"/>
    <cellStyle name="20% - Акцент3 5 2" xfId="1237"/>
    <cellStyle name="20% - Акцент3 5 3" xfId="1238"/>
    <cellStyle name="20% - Акцент3 5_46EE.2011(v1.0)" xfId="1239"/>
    <cellStyle name="20% - Акцент3 6" xfId="1240"/>
    <cellStyle name="20% - Акцент3 6 2" xfId="1241"/>
    <cellStyle name="20% - Акцент3 6 3" xfId="1242"/>
    <cellStyle name="20% - Акцент3 6_46EE.2011(v1.0)" xfId="1243"/>
    <cellStyle name="20% - Акцент3 7" xfId="1244"/>
    <cellStyle name="20% - Акцент3 7 2" xfId="1245"/>
    <cellStyle name="20% - Акцент3 7 2 2" xfId="1246"/>
    <cellStyle name="20% - Акцент3 7 3" xfId="1247"/>
    <cellStyle name="20% - Акцент3 7_46EE.2011(v1.0)" xfId="1248"/>
    <cellStyle name="20% - Акцент3 8" xfId="1249"/>
    <cellStyle name="20% - Акцент3 8 2" xfId="1250"/>
    <cellStyle name="20% - Акцент3 8 2 2" xfId="1251"/>
    <cellStyle name="20% - Акцент3 8 3" xfId="1252"/>
    <cellStyle name="20% - Акцент3 8_46EE.2011(v1.0)" xfId="1253"/>
    <cellStyle name="20% - Акцент3 9" xfId="1254"/>
    <cellStyle name="20% - Акцент3 9 2" xfId="1255"/>
    <cellStyle name="20% - Акцент3 9 2 2" xfId="1256"/>
    <cellStyle name="20% - Акцент3 9 3" xfId="1257"/>
    <cellStyle name="20% - Акцент3 9_46EE.2011(v1.0)" xfId="1258"/>
    <cellStyle name="20% — акцент4" xfId="1259"/>
    <cellStyle name="20% - Акцент4 10" xfId="1260"/>
    <cellStyle name="20% - Акцент4 10 2" xfId="1261"/>
    <cellStyle name="20% - Акцент4 10 3" xfId="1262"/>
    <cellStyle name="20% - Акцент4 2" xfId="1263"/>
    <cellStyle name="20% - Акцент4 2 2" xfId="1264"/>
    <cellStyle name="20% - Акцент4 2 2 2" xfId="1265"/>
    <cellStyle name="20% - Акцент4 2 3" xfId="1266"/>
    <cellStyle name="20% - Акцент4 2_46EE.2011(v1.0)" xfId="1267"/>
    <cellStyle name="20% - Акцент4 3" xfId="1268"/>
    <cellStyle name="20% - Акцент4 3 2" xfId="1269"/>
    <cellStyle name="20% - Акцент4 3 2 2" xfId="1270"/>
    <cellStyle name="20% - Акцент4 3 3" xfId="1271"/>
    <cellStyle name="20% - Акцент4 3_46EE.2011(v1.0)" xfId="1272"/>
    <cellStyle name="20% - Акцент4 4" xfId="1273"/>
    <cellStyle name="20% - Акцент4 4 2" xfId="1274"/>
    <cellStyle name="20% - Акцент4 4 3" xfId="1275"/>
    <cellStyle name="20% - Акцент4 4_46EE.2011(v1.0)" xfId="1276"/>
    <cellStyle name="20% - Акцент4 5" xfId="1277"/>
    <cellStyle name="20% - Акцент4 5 2" xfId="1278"/>
    <cellStyle name="20% - Акцент4 5 3" xfId="1279"/>
    <cellStyle name="20% - Акцент4 5_46EE.2011(v1.0)" xfId="1280"/>
    <cellStyle name="20% - Акцент4 6" xfId="1281"/>
    <cellStyle name="20% - Акцент4 6 2" xfId="1282"/>
    <cellStyle name="20% - Акцент4 6 3" xfId="1283"/>
    <cellStyle name="20% - Акцент4 6_46EE.2011(v1.0)" xfId="1284"/>
    <cellStyle name="20% - Акцент4 7" xfId="1285"/>
    <cellStyle name="20% - Акцент4 7 2" xfId="1286"/>
    <cellStyle name="20% - Акцент4 7 2 2" xfId="1287"/>
    <cellStyle name="20% - Акцент4 7 3" xfId="1288"/>
    <cellStyle name="20% - Акцент4 7_46EE.2011(v1.0)" xfId="1289"/>
    <cellStyle name="20% - Акцент4 8" xfId="1290"/>
    <cellStyle name="20% - Акцент4 8 2" xfId="1291"/>
    <cellStyle name="20% - Акцент4 8 2 2" xfId="1292"/>
    <cellStyle name="20% - Акцент4 8 3" xfId="1293"/>
    <cellStyle name="20% - Акцент4 8_46EE.2011(v1.0)" xfId="1294"/>
    <cellStyle name="20% - Акцент4 9" xfId="1295"/>
    <cellStyle name="20% - Акцент4 9 2" xfId="1296"/>
    <cellStyle name="20% - Акцент4 9 2 2" xfId="1297"/>
    <cellStyle name="20% - Акцент4 9 3" xfId="1298"/>
    <cellStyle name="20% - Акцент4 9_46EE.2011(v1.0)" xfId="1299"/>
    <cellStyle name="20% — акцент5" xfId="1300"/>
    <cellStyle name="20% - Акцент5 10" xfId="1301"/>
    <cellStyle name="20% - Акцент5 10 2" xfId="1302"/>
    <cellStyle name="20% - Акцент5 10 3" xfId="1303"/>
    <cellStyle name="20% - Акцент5 2" xfId="1304"/>
    <cellStyle name="20% - Акцент5 2 2" xfId="1305"/>
    <cellStyle name="20% - Акцент5 2 2 2" xfId="1306"/>
    <cellStyle name="20% - Акцент5 2 3" xfId="1307"/>
    <cellStyle name="20% - Акцент5 2_46EE.2011(v1.0)" xfId="1308"/>
    <cellStyle name="20% - Акцент5 3" xfId="1309"/>
    <cellStyle name="20% - Акцент5 3 2" xfId="1310"/>
    <cellStyle name="20% - Акцент5 3 2 2" xfId="1311"/>
    <cellStyle name="20% - Акцент5 3 3" xfId="1312"/>
    <cellStyle name="20% - Акцент5 3_46EE.2011(v1.0)" xfId="1313"/>
    <cellStyle name="20% - Акцент5 4" xfId="1314"/>
    <cellStyle name="20% - Акцент5 4 2" xfId="1315"/>
    <cellStyle name="20% - Акцент5 4 3" xfId="1316"/>
    <cellStyle name="20% - Акцент5 4_46EE.2011(v1.0)" xfId="1317"/>
    <cellStyle name="20% - Акцент5 5" xfId="1318"/>
    <cellStyle name="20% - Акцент5 5 2" xfId="1319"/>
    <cellStyle name="20% - Акцент5 5 3" xfId="1320"/>
    <cellStyle name="20% - Акцент5 5_46EE.2011(v1.0)" xfId="1321"/>
    <cellStyle name="20% - Акцент5 6" xfId="1322"/>
    <cellStyle name="20% - Акцент5 6 2" xfId="1323"/>
    <cellStyle name="20% - Акцент5 6 3" xfId="1324"/>
    <cellStyle name="20% - Акцент5 6_46EE.2011(v1.0)" xfId="1325"/>
    <cellStyle name="20% - Акцент5 7" xfId="1326"/>
    <cellStyle name="20% - Акцент5 7 2" xfId="1327"/>
    <cellStyle name="20% - Акцент5 7 2 2" xfId="1328"/>
    <cellStyle name="20% - Акцент5 7 3" xfId="1329"/>
    <cellStyle name="20% - Акцент5 7_46EE.2011(v1.0)" xfId="1330"/>
    <cellStyle name="20% - Акцент5 8" xfId="1331"/>
    <cellStyle name="20% - Акцент5 8 2" xfId="1332"/>
    <cellStyle name="20% - Акцент5 8 2 2" xfId="1333"/>
    <cellStyle name="20% - Акцент5 8 3" xfId="1334"/>
    <cellStyle name="20% - Акцент5 8_46EE.2011(v1.0)" xfId="1335"/>
    <cellStyle name="20% - Акцент5 9" xfId="1336"/>
    <cellStyle name="20% - Акцент5 9 2" xfId="1337"/>
    <cellStyle name="20% - Акцент5 9 2 2" xfId="1338"/>
    <cellStyle name="20% - Акцент5 9 3" xfId="1339"/>
    <cellStyle name="20% - Акцент5 9_46EE.2011(v1.0)" xfId="1340"/>
    <cellStyle name="20% — акцент6" xfId="1341"/>
    <cellStyle name="20% - Акцент6 10" xfId="1342"/>
    <cellStyle name="20% - Акцент6 10 2" xfId="1343"/>
    <cellStyle name="20% - Акцент6 10 3" xfId="1344"/>
    <cellStyle name="20% - Акцент6 2" xfId="1345"/>
    <cellStyle name="20% - Акцент6 2 2" xfId="1346"/>
    <cellStyle name="20% - Акцент6 2 2 2" xfId="1347"/>
    <cellStyle name="20% - Акцент6 2 3" xfId="1348"/>
    <cellStyle name="20% - Акцент6 2_46EE.2011(v1.0)" xfId="1349"/>
    <cellStyle name="20% - Акцент6 3" xfId="1350"/>
    <cellStyle name="20% - Акцент6 3 2" xfId="1351"/>
    <cellStyle name="20% - Акцент6 3 2 2" xfId="1352"/>
    <cellStyle name="20% - Акцент6 3 3" xfId="1353"/>
    <cellStyle name="20% - Акцент6 3_46EE.2011(v1.0)" xfId="1354"/>
    <cellStyle name="20% - Акцент6 4" xfId="1355"/>
    <cellStyle name="20% - Акцент6 4 2" xfId="1356"/>
    <cellStyle name="20% - Акцент6 4 3" xfId="1357"/>
    <cellStyle name="20% - Акцент6 4_46EE.2011(v1.0)" xfId="1358"/>
    <cellStyle name="20% - Акцент6 5" xfId="1359"/>
    <cellStyle name="20% - Акцент6 5 2" xfId="1360"/>
    <cellStyle name="20% - Акцент6 5 3" xfId="1361"/>
    <cellStyle name="20% - Акцент6 5_46EE.2011(v1.0)" xfId="1362"/>
    <cellStyle name="20% - Акцент6 6" xfId="1363"/>
    <cellStyle name="20% - Акцент6 6 2" xfId="1364"/>
    <cellStyle name="20% - Акцент6 6 3" xfId="1365"/>
    <cellStyle name="20% - Акцент6 6_46EE.2011(v1.0)" xfId="1366"/>
    <cellStyle name="20% - Акцент6 7" xfId="1367"/>
    <cellStyle name="20% - Акцент6 7 2" xfId="1368"/>
    <cellStyle name="20% - Акцент6 7 2 2" xfId="1369"/>
    <cellStyle name="20% - Акцент6 7 3" xfId="1370"/>
    <cellStyle name="20% - Акцент6 7_46EE.2011(v1.0)" xfId="1371"/>
    <cellStyle name="20% - Акцент6 8" xfId="1372"/>
    <cellStyle name="20% - Акцент6 8 2" xfId="1373"/>
    <cellStyle name="20% - Акцент6 8 2 2" xfId="1374"/>
    <cellStyle name="20% - Акцент6 8 3" xfId="1375"/>
    <cellStyle name="20% - Акцент6 8_46EE.2011(v1.0)" xfId="1376"/>
    <cellStyle name="20% - Акцент6 9" xfId="1377"/>
    <cellStyle name="20% - Акцент6 9 2" xfId="1378"/>
    <cellStyle name="20% - Акцент6 9 2 2" xfId="1379"/>
    <cellStyle name="20% - Акцент6 9 3" xfId="1380"/>
    <cellStyle name="20% - Акцент6 9_46EE.2011(v1.0)" xfId="1381"/>
    <cellStyle name="3d" xfId="1382"/>
    <cellStyle name="40% - Accent1" xfId="1383"/>
    <cellStyle name="40% - Accent1 2" xfId="1384"/>
    <cellStyle name="40% - Accent1 3" xfId="1385"/>
    <cellStyle name="40% - Accent1_46EE.2011(v1.0)" xfId="1386"/>
    <cellStyle name="40% - Accent2" xfId="1387"/>
    <cellStyle name="40% - Accent2 2" xfId="1388"/>
    <cellStyle name="40% - Accent2 3" xfId="1389"/>
    <cellStyle name="40% - Accent2_46EE.2011(v1.0)" xfId="1390"/>
    <cellStyle name="40% - Accent3" xfId="1391"/>
    <cellStyle name="40% - Accent3 2" xfId="1392"/>
    <cellStyle name="40% - Accent3 3" xfId="1393"/>
    <cellStyle name="40% - Accent3_46EE.2011(v1.0)" xfId="1394"/>
    <cellStyle name="40% - Accent4" xfId="1395"/>
    <cellStyle name="40% - Accent4 2" xfId="1396"/>
    <cellStyle name="40% - Accent4 3" xfId="1397"/>
    <cellStyle name="40% - Accent4_46EE.2011(v1.0)" xfId="1398"/>
    <cellStyle name="40% - Accent5" xfId="1399"/>
    <cellStyle name="40% - Accent5 2" xfId="1400"/>
    <cellStyle name="40% - Accent5 3" xfId="1401"/>
    <cellStyle name="40% - Accent5_46EE.2011(v1.0)" xfId="1402"/>
    <cellStyle name="40% - Accent6" xfId="1403"/>
    <cellStyle name="40% - Accent6 2" xfId="1404"/>
    <cellStyle name="40% - Accent6 3" xfId="1405"/>
    <cellStyle name="40% - Accent6_46EE.2011(v1.0)" xfId="1406"/>
    <cellStyle name="40% — акцент1" xfId="1407"/>
    <cellStyle name="40% - Акцент1 10" xfId="1408"/>
    <cellStyle name="40% - Акцент1 10 2" xfId="1409"/>
    <cellStyle name="40% - Акцент1 10 3" xfId="1410"/>
    <cellStyle name="40% - Акцент1 2" xfId="1411"/>
    <cellStyle name="40% - Акцент1 2 2" xfId="1412"/>
    <cellStyle name="40% - Акцент1 2 2 2" xfId="1413"/>
    <cellStyle name="40% - Акцент1 2 3" xfId="1414"/>
    <cellStyle name="40% - Акцент1 2_46EE.2011(v1.0)" xfId="1415"/>
    <cellStyle name="40% - Акцент1 3" xfId="1416"/>
    <cellStyle name="40% - Акцент1 3 2" xfId="1417"/>
    <cellStyle name="40% - Акцент1 3 2 2" xfId="1418"/>
    <cellStyle name="40% - Акцент1 3 3" xfId="1419"/>
    <cellStyle name="40% - Акцент1 3_46EE.2011(v1.0)" xfId="1420"/>
    <cellStyle name="40% - Акцент1 4" xfId="1421"/>
    <cellStyle name="40% - Акцент1 4 2" xfId="1422"/>
    <cellStyle name="40% - Акцент1 4 3" xfId="1423"/>
    <cellStyle name="40% - Акцент1 4_46EE.2011(v1.0)" xfId="1424"/>
    <cellStyle name="40% - Акцент1 5" xfId="1425"/>
    <cellStyle name="40% - Акцент1 5 2" xfId="1426"/>
    <cellStyle name="40% - Акцент1 5 3" xfId="1427"/>
    <cellStyle name="40% - Акцент1 5_46EE.2011(v1.0)" xfId="1428"/>
    <cellStyle name="40% - Акцент1 6" xfId="1429"/>
    <cellStyle name="40% - Акцент1 6 2" xfId="1430"/>
    <cellStyle name="40% - Акцент1 6 3" xfId="1431"/>
    <cellStyle name="40% - Акцент1 6_46EE.2011(v1.0)" xfId="1432"/>
    <cellStyle name="40% - Акцент1 7" xfId="1433"/>
    <cellStyle name="40% - Акцент1 7 2" xfId="1434"/>
    <cellStyle name="40% - Акцент1 7 2 2" xfId="1435"/>
    <cellStyle name="40% - Акцент1 7 3" xfId="1436"/>
    <cellStyle name="40% - Акцент1 7_46EE.2011(v1.0)" xfId="1437"/>
    <cellStyle name="40% - Акцент1 8" xfId="1438"/>
    <cellStyle name="40% - Акцент1 8 2" xfId="1439"/>
    <cellStyle name="40% - Акцент1 8 2 2" xfId="1440"/>
    <cellStyle name="40% - Акцент1 8 3" xfId="1441"/>
    <cellStyle name="40% - Акцент1 8_46EE.2011(v1.0)" xfId="1442"/>
    <cellStyle name="40% - Акцент1 9" xfId="1443"/>
    <cellStyle name="40% - Акцент1 9 2" xfId="1444"/>
    <cellStyle name="40% - Акцент1 9 2 2" xfId="1445"/>
    <cellStyle name="40% - Акцент1 9 3" xfId="1446"/>
    <cellStyle name="40% - Акцент1 9_46EE.2011(v1.0)" xfId="1447"/>
    <cellStyle name="40% — акцент2" xfId="1448"/>
    <cellStyle name="40% - Акцент2 10" xfId="1449"/>
    <cellStyle name="40% - Акцент2 10 2" xfId="1450"/>
    <cellStyle name="40% - Акцент2 10 3" xfId="1451"/>
    <cellStyle name="40% - Акцент2 2" xfId="1452"/>
    <cellStyle name="40% - Акцент2 2 2" xfId="1453"/>
    <cellStyle name="40% - Акцент2 2 2 2" xfId="1454"/>
    <cellStyle name="40% - Акцент2 2 3" xfId="1455"/>
    <cellStyle name="40% - Акцент2 2_46EE.2011(v1.0)" xfId="1456"/>
    <cellStyle name="40% - Акцент2 3" xfId="1457"/>
    <cellStyle name="40% - Акцент2 3 2" xfId="1458"/>
    <cellStyle name="40% - Акцент2 3 2 2" xfId="1459"/>
    <cellStyle name="40% - Акцент2 3 3" xfId="1460"/>
    <cellStyle name="40% - Акцент2 3_46EE.2011(v1.0)" xfId="1461"/>
    <cellStyle name="40% - Акцент2 4" xfId="1462"/>
    <cellStyle name="40% - Акцент2 4 2" xfId="1463"/>
    <cellStyle name="40% - Акцент2 4 3" xfId="1464"/>
    <cellStyle name="40% - Акцент2 4_46EE.2011(v1.0)" xfId="1465"/>
    <cellStyle name="40% - Акцент2 5" xfId="1466"/>
    <cellStyle name="40% - Акцент2 5 2" xfId="1467"/>
    <cellStyle name="40% - Акцент2 5 3" xfId="1468"/>
    <cellStyle name="40% - Акцент2 5_46EE.2011(v1.0)" xfId="1469"/>
    <cellStyle name="40% - Акцент2 6" xfId="1470"/>
    <cellStyle name="40% - Акцент2 6 2" xfId="1471"/>
    <cellStyle name="40% - Акцент2 6 3" xfId="1472"/>
    <cellStyle name="40% - Акцент2 6_46EE.2011(v1.0)" xfId="1473"/>
    <cellStyle name="40% - Акцент2 7" xfId="1474"/>
    <cellStyle name="40% - Акцент2 7 2" xfId="1475"/>
    <cellStyle name="40% - Акцент2 7 2 2" xfId="1476"/>
    <cellStyle name="40% - Акцент2 7 3" xfId="1477"/>
    <cellStyle name="40% - Акцент2 7_46EE.2011(v1.0)" xfId="1478"/>
    <cellStyle name="40% - Акцент2 8" xfId="1479"/>
    <cellStyle name="40% - Акцент2 8 2" xfId="1480"/>
    <cellStyle name="40% - Акцент2 8 2 2" xfId="1481"/>
    <cellStyle name="40% - Акцент2 8 3" xfId="1482"/>
    <cellStyle name="40% - Акцент2 8_46EE.2011(v1.0)" xfId="1483"/>
    <cellStyle name="40% - Акцент2 9" xfId="1484"/>
    <cellStyle name="40% - Акцент2 9 2" xfId="1485"/>
    <cellStyle name="40% - Акцент2 9 2 2" xfId="1486"/>
    <cellStyle name="40% - Акцент2 9 3" xfId="1487"/>
    <cellStyle name="40% - Акцент2 9_46EE.2011(v1.0)" xfId="1488"/>
    <cellStyle name="40% — акцент3" xfId="1489"/>
    <cellStyle name="40% - Акцент3 10" xfId="1490"/>
    <cellStyle name="40% - Акцент3 10 2" xfId="1491"/>
    <cellStyle name="40% - Акцент3 10 3" xfId="1492"/>
    <cellStyle name="40% - Акцент3 2" xfId="1493"/>
    <cellStyle name="40% - Акцент3 2 2" xfId="1494"/>
    <cellStyle name="40% - Акцент3 2 2 2" xfId="1495"/>
    <cellStyle name="40% - Акцент3 2 3" xfId="1496"/>
    <cellStyle name="40% - Акцент3 2_46EE.2011(v1.0)" xfId="1497"/>
    <cellStyle name="40% - Акцент3 3" xfId="1498"/>
    <cellStyle name="40% - Акцент3 3 2" xfId="1499"/>
    <cellStyle name="40% - Акцент3 3 2 2" xfId="1500"/>
    <cellStyle name="40% - Акцент3 3 3" xfId="1501"/>
    <cellStyle name="40% - Акцент3 3_46EE.2011(v1.0)" xfId="1502"/>
    <cellStyle name="40% - Акцент3 4" xfId="1503"/>
    <cellStyle name="40% - Акцент3 4 2" xfId="1504"/>
    <cellStyle name="40% - Акцент3 4 3" xfId="1505"/>
    <cellStyle name="40% - Акцент3 4_46EE.2011(v1.0)" xfId="1506"/>
    <cellStyle name="40% - Акцент3 5" xfId="1507"/>
    <cellStyle name="40% - Акцент3 5 2" xfId="1508"/>
    <cellStyle name="40% - Акцент3 5 3" xfId="1509"/>
    <cellStyle name="40% - Акцент3 5_46EE.2011(v1.0)" xfId="1510"/>
    <cellStyle name="40% - Акцент3 6" xfId="1511"/>
    <cellStyle name="40% - Акцент3 6 2" xfId="1512"/>
    <cellStyle name="40% - Акцент3 6 3" xfId="1513"/>
    <cellStyle name="40% - Акцент3 6_46EE.2011(v1.0)" xfId="1514"/>
    <cellStyle name="40% - Акцент3 7" xfId="1515"/>
    <cellStyle name="40% - Акцент3 7 2" xfId="1516"/>
    <cellStyle name="40% - Акцент3 7 2 2" xfId="1517"/>
    <cellStyle name="40% - Акцент3 7 3" xfId="1518"/>
    <cellStyle name="40% - Акцент3 7_46EE.2011(v1.0)" xfId="1519"/>
    <cellStyle name="40% - Акцент3 8" xfId="1520"/>
    <cellStyle name="40% - Акцент3 8 2" xfId="1521"/>
    <cellStyle name="40% - Акцент3 8 2 2" xfId="1522"/>
    <cellStyle name="40% - Акцент3 8 3" xfId="1523"/>
    <cellStyle name="40% - Акцент3 8_46EE.2011(v1.0)" xfId="1524"/>
    <cellStyle name="40% - Акцент3 9" xfId="1525"/>
    <cellStyle name="40% - Акцент3 9 2" xfId="1526"/>
    <cellStyle name="40% - Акцент3 9 2 2" xfId="1527"/>
    <cellStyle name="40% - Акцент3 9 3" xfId="1528"/>
    <cellStyle name="40% - Акцент3 9_46EE.2011(v1.0)" xfId="1529"/>
    <cellStyle name="40% — акцент4" xfId="1530"/>
    <cellStyle name="40% - Акцент4 10" xfId="1531"/>
    <cellStyle name="40% - Акцент4 10 2" xfId="1532"/>
    <cellStyle name="40% - Акцент4 10 3" xfId="1533"/>
    <cellStyle name="40% - Акцент4 2" xfId="1534"/>
    <cellStyle name="40% - Акцент4 2 2" xfId="1535"/>
    <cellStyle name="40% - Акцент4 2 2 2" xfId="1536"/>
    <cellStyle name="40% - Акцент4 2 3" xfId="1537"/>
    <cellStyle name="40% - Акцент4 2_46EE.2011(v1.0)" xfId="1538"/>
    <cellStyle name="40% - Акцент4 3" xfId="1539"/>
    <cellStyle name="40% - Акцент4 3 2" xfId="1540"/>
    <cellStyle name="40% - Акцент4 3 2 2" xfId="1541"/>
    <cellStyle name="40% - Акцент4 3 3" xfId="1542"/>
    <cellStyle name="40% - Акцент4 3_46EE.2011(v1.0)" xfId="1543"/>
    <cellStyle name="40% - Акцент4 4" xfId="1544"/>
    <cellStyle name="40% - Акцент4 4 2" xfId="1545"/>
    <cellStyle name="40% - Акцент4 4 3" xfId="1546"/>
    <cellStyle name="40% - Акцент4 4_46EE.2011(v1.0)" xfId="1547"/>
    <cellStyle name="40% - Акцент4 5" xfId="1548"/>
    <cellStyle name="40% - Акцент4 5 2" xfId="1549"/>
    <cellStyle name="40% - Акцент4 5 3" xfId="1550"/>
    <cellStyle name="40% - Акцент4 5_46EE.2011(v1.0)" xfId="1551"/>
    <cellStyle name="40% - Акцент4 6" xfId="1552"/>
    <cellStyle name="40% - Акцент4 6 2" xfId="1553"/>
    <cellStyle name="40% - Акцент4 6 3" xfId="1554"/>
    <cellStyle name="40% - Акцент4 6_46EE.2011(v1.0)" xfId="1555"/>
    <cellStyle name="40% - Акцент4 7" xfId="1556"/>
    <cellStyle name="40% - Акцент4 7 2" xfId="1557"/>
    <cellStyle name="40% - Акцент4 7 2 2" xfId="1558"/>
    <cellStyle name="40% - Акцент4 7 3" xfId="1559"/>
    <cellStyle name="40% - Акцент4 7_46EE.2011(v1.0)" xfId="1560"/>
    <cellStyle name="40% - Акцент4 8" xfId="1561"/>
    <cellStyle name="40% - Акцент4 8 2" xfId="1562"/>
    <cellStyle name="40% - Акцент4 8 2 2" xfId="1563"/>
    <cellStyle name="40% - Акцент4 8 3" xfId="1564"/>
    <cellStyle name="40% - Акцент4 8_46EE.2011(v1.0)" xfId="1565"/>
    <cellStyle name="40% - Акцент4 9" xfId="1566"/>
    <cellStyle name="40% - Акцент4 9 2" xfId="1567"/>
    <cellStyle name="40% - Акцент4 9 2 2" xfId="1568"/>
    <cellStyle name="40% - Акцент4 9 3" xfId="1569"/>
    <cellStyle name="40% - Акцент4 9_46EE.2011(v1.0)" xfId="1570"/>
    <cellStyle name="40% — акцент5" xfId="1571"/>
    <cellStyle name="40% - Акцент5 10" xfId="1572"/>
    <cellStyle name="40% - Акцент5 10 2" xfId="1573"/>
    <cellStyle name="40% - Акцент5 10 3" xfId="1574"/>
    <cellStyle name="40% - Акцент5 2" xfId="1575"/>
    <cellStyle name="40% - Акцент5 2 2" xfId="1576"/>
    <cellStyle name="40% - Акцент5 2 2 2" xfId="1577"/>
    <cellStyle name="40% - Акцент5 2 3" xfId="1578"/>
    <cellStyle name="40% - Акцент5 2_46EE.2011(v1.0)" xfId="1579"/>
    <cellStyle name="40% - Акцент5 3" xfId="1580"/>
    <cellStyle name="40% - Акцент5 3 2" xfId="1581"/>
    <cellStyle name="40% - Акцент5 3 2 2" xfId="1582"/>
    <cellStyle name="40% - Акцент5 3 3" xfId="1583"/>
    <cellStyle name="40% - Акцент5 3_46EE.2011(v1.0)" xfId="1584"/>
    <cellStyle name="40% - Акцент5 4" xfId="1585"/>
    <cellStyle name="40% - Акцент5 4 2" xfId="1586"/>
    <cellStyle name="40% - Акцент5 4 3" xfId="1587"/>
    <cellStyle name="40% - Акцент5 4_46EE.2011(v1.0)" xfId="1588"/>
    <cellStyle name="40% - Акцент5 5" xfId="1589"/>
    <cellStyle name="40% - Акцент5 5 2" xfId="1590"/>
    <cellStyle name="40% - Акцент5 5 3" xfId="1591"/>
    <cellStyle name="40% - Акцент5 5_46EE.2011(v1.0)" xfId="1592"/>
    <cellStyle name="40% - Акцент5 6" xfId="1593"/>
    <cellStyle name="40% - Акцент5 6 2" xfId="1594"/>
    <cellStyle name="40% - Акцент5 6 3" xfId="1595"/>
    <cellStyle name="40% - Акцент5 6_46EE.2011(v1.0)" xfId="1596"/>
    <cellStyle name="40% - Акцент5 7" xfId="1597"/>
    <cellStyle name="40% - Акцент5 7 2" xfId="1598"/>
    <cellStyle name="40% - Акцент5 7 2 2" xfId="1599"/>
    <cellStyle name="40% - Акцент5 7 3" xfId="1600"/>
    <cellStyle name="40% - Акцент5 7_46EE.2011(v1.0)" xfId="1601"/>
    <cellStyle name="40% - Акцент5 8" xfId="1602"/>
    <cellStyle name="40% - Акцент5 8 2" xfId="1603"/>
    <cellStyle name="40% - Акцент5 8 2 2" xfId="1604"/>
    <cellStyle name="40% - Акцент5 8 3" xfId="1605"/>
    <cellStyle name="40% - Акцент5 8_46EE.2011(v1.0)" xfId="1606"/>
    <cellStyle name="40% - Акцент5 9" xfId="1607"/>
    <cellStyle name="40% - Акцент5 9 2" xfId="1608"/>
    <cellStyle name="40% - Акцент5 9 2 2" xfId="1609"/>
    <cellStyle name="40% - Акцент5 9 3" xfId="1610"/>
    <cellStyle name="40% - Акцент5 9_46EE.2011(v1.0)" xfId="1611"/>
    <cellStyle name="40% — акцент6" xfId="1612"/>
    <cellStyle name="40% - Акцент6 10" xfId="1613"/>
    <cellStyle name="40% - Акцент6 10 2" xfId="1614"/>
    <cellStyle name="40% - Акцент6 10 3" xfId="1615"/>
    <cellStyle name="40% - Акцент6 2" xfId="1616"/>
    <cellStyle name="40% - Акцент6 2 2" xfId="1617"/>
    <cellStyle name="40% - Акцент6 2 2 2" xfId="1618"/>
    <cellStyle name="40% - Акцент6 2 3" xfId="1619"/>
    <cellStyle name="40% - Акцент6 2_46EE.2011(v1.0)" xfId="1620"/>
    <cellStyle name="40% - Акцент6 3" xfId="1621"/>
    <cellStyle name="40% - Акцент6 3 2" xfId="1622"/>
    <cellStyle name="40% - Акцент6 3 2 2" xfId="1623"/>
    <cellStyle name="40% - Акцент6 3 3" xfId="1624"/>
    <cellStyle name="40% - Акцент6 3_46EE.2011(v1.0)" xfId="1625"/>
    <cellStyle name="40% - Акцент6 4" xfId="1626"/>
    <cellStyle name="40% - Акцент6 4 2" xfId="1627"/>
    <cellStyle name="40% - Акцент6 4 3" xfId="1628"/>
    <cellStyle name="40% - Акцент6 4_46EE.2011(v1.0)" xfId="1629"/>
    <cellStyle name="40% - Акцент6 5" xfId="1630"/>
    <cellStyle name="40% - Акцент6 5 2" xfId="1631"/>
    <cellStyle name="40% - Акцент6 5 3" xfId="1632"/>
    <cellStyle name="40% - Акцент6 5_46EE.2011(v1.0)" xfId="1633"/>
    <cellStyle name="40% - Акцент6 6" xfId="1634"/>
    <cellStyle name="40% - Акцент6 6 2" xfId="1635"/>
    <cellStyle name="40% - Акцент6 6 3" xfId="1636"/>
    <cellStyle name="40% - Акцент6 6_46EE.2011(v1.0)" xfId="1637"/>
    <cellStyle name="40% - Акцент6 7" xfId="1638"/>
    <cellStyle name="40% - Акцент6 7 2" xfId="1639"/>
    <cellStyle name="40% - Акцент6 7 2 2" xfId="1640"/>
    <cellStyle name="40% - Акцент6 7 3" xfId="1641"/>
    <cellStyle name="40% - Акцент6 7_46EE.2011(v1.0)" xfId="1642"/>
    <cellStyle name="40% - Акцент6 8" xfId="1643"/>
    <cellStyle name="40% - Акцент6 8 2" xfId="1644"/>
    <cellStyle name="40% - Акцент6 8 2 2" xfId="1645"/>
    <cellStyle name="40% - Акцент6 8 3" xfId="1646"/>
    <cellStyle name="40% - Акцент6 8_46EE.2011(v1.0)" xfId="1647"/>
    <cellStyle name="40% - Акцент6 9" xfId="1648"/>
    <cellStyle name="40% - Акцент6 9 2" xfId="1649"/>
    <cellStyle name="40% - Акцент6 9 2 2" xfId="1650"/>
    <cellStyle name="40% - Акцент6 9 3" xfId="1651"/>
    <cellStyle name="40% - Акцент6 9_46EE.2011(v1.0)" xfId="1652"/>
    <cellStyle name="60% - Accent1" xfId="1653"/>
    <cellStyle name="60% - Accent2" xfId="1654"/>
    <cellStyle name="60% - Accent3" xfId="1655"/>
    <cellStyle name="60% - Accent4" xfId="1656"/>
    <cellStyle name="60% - Accent5" xfId="1657"/>
    <cellStyle name="60% - Accent6" xfId="1658"/>
    <cellStyle name="60% — акцент1" xfId="1659"/>
    <cellStyle name="60% - Акцент1 10" xfId="1660"/>
    <cellStyle name="60% - Акцент1 2" xfId="1661"/>
    <cellStyle name="60% - Акцент1 2 2" xfId="1662"/>
    <cellStyle name="60% - Акцент1 3" xfId="1663"/>
    <cellStyle name="60% - Акцент1 3 2" xfId="1664"/>
    <cellStyle name="60% - Акцент1 4" xfId="1665"/>
    <cellStyle name="60% - Акцент1 4 2" xfId="1666"/>
    <cellStyle name="60% - Акцент1 5" xfId="1667"/>
    <cellStyle name="60% - Акцент1 5 2" xfId="1668"/>
    <cellStyle name="60% - Акцент1 6" xfId="1669"/>
    <cellStyle name="60% - Акцент1 6 2" xfId="1670"/>
    <cellStyle name="60% - Акцент1 7" xfId="1671"/>
    <cellStyle name="60% - Акцент1 7 2" xfId="1672"/>
    <cellStyle name="60% - Акцент1 8" xfId="1673"/>
    <cellStyle name="60% - Акцент1 8 2" xfId="1674"/>
    <cellStyle name="60% - Акцент1 9" xfId="1675"/>
    <cellStyle name="60% - Акцент1 9 2" xfId="1676"/>
    <cellStyle name="60% — акцент2" xfId="1677"/>
    <cellStyle name="60% - Акцент2 10" xfId="1678"/>
    <cellStyle name="60% - Акцент2 2" xfId="1679"/>
    <cellStyle name="60% - Акцент2 2 2" xfId="1680"/>
    <cellStyle name="60% - Акцент2 3" xfId="1681"/>
    <cellStyle name="60% - Акцент2 3 2" xfId="1682"/>
    <cellStyle name="60% - Акцент2 4" xfId="1683"/>
    <cellStyle name="60% - Акцент2 4 2" xfId="1684"/>
    <cellStyle name="60% - Акцент2 5" xfId="1685"/>
    <cellStyle name="60% - Акцент2 5 2" xfId="1686"/>
    <cellStyle name="60% - Акцент2 6" xfId="1687"/>
    <cellStyle name="60% - Акцент2 6 2" xfId="1688"/>
    <cellStyle name="60% - Акцент2 7" xfId="1689"/>
    <cellStyle name="60% - Акцент2 7 2" xfId="1690"/>
    <cellStyle name="60% - Акцент2 8" xfId="1691"/>
    <cellStyle name="60% - Акцент2 8 2" xfId="1692"/>
    <cellStyle name="60% - Акцент2 9" xfId="1693"/>
    <cellStyle name="60% - Акцент2 9 2" xfId="1694"/>
    <cellStyle name="60% — акцент3" xfId="1695"/>
    <cellStyle name="60% - Акцент3 10" xfId="1696"/>
    <cellStyle name="60% - Акцент3 2" xfId="1697"/>
    <cellStyle name="60% - Акцент3 2 2" xfId="1698"/>
    <cellStyle name="60% - Акцент3 3" xfId="1699"/>
    <cellStyle name="60% - Акцент3 3 2" xfId="1700"/>
    <cellStyle name="60% - Акцент3 4" xfId="1701"/>
    <cellStyle name="60% - Акцент3 4 2" xfId="1702"/>
    <cellStyle name="60% - Акцент3 5" xfId="1703"/>
    <cellStyle name="60% - Акцент3 5 2" xfId="1704"/>
    <cellStyle name="60% - Акцент3 6" xfId="1705"/>
    <cellStyle name="60% - Акцент3 6 2" xfId="1706"/>
    <cellStyle name="60% - Акцент3 7" xfId="1707"/>
    <cellStyle name="60% - Акцент3 7 2" xfId="1708"/>
    <cellStyle name="60% - Акцент3 8" xfId="1709"/>
    <cellStyle name="60% - Акцент3 8 2" xfId="1710"/>
    <cellStyle name="60% - Акцент3 9" xfId="1711"/>
    <cellStyle name="60% - Акцент3 9 2" xfId="1712"/>
    <cellStyle name="60% — акцент4" xfId="1713"/>
    <cellStyle name="60% - Акцент4 10" xfId="1714"/>
    <cellStyle name="60% - Акцент4 2" xfId="1715"/>
    <cellStyle name="60% - Акцент4 2 2" xfId="1716"/>
    <cellStyle name="60% - Акцент4 3" xfId="1717"/>
    <cellStyle name="60% - Акцент4 3 2" xfId="1718"/>
    <cellStyle name="60% - Акцент4 4" xfId="1719"/>
    <cellStyle name="60% - Акцент4 4 2" xfId="1720"/>
    <cellStyle name="60% - Акцент4 5" xfId="1721"/>
    <cellStyle name="60% - Акцент4 5 2" xfId="1722"/>
    <cellStyle name="60% - Акцент4 6" xfId="1723"/>
    <cellStyle name="60% - Акцент4 6 2" xfId="1724"/>
    <cellStyle name="60% - Акцент4 7" xfId="1725"/>
    <cellStyle name="60% - Акцент4 7 2" xfId="1726"/>
    <cellStyle name="60% - Акцент4 8" xfId="1727"/>
    <cellStyle name="60% - Акцент4 8 2" xfId="1728"/>
    <cellStyle name="60% - Акцент4 9" xfId="1729"/>
    <cellStyle name="60% - Акцент4 9 2" xfId="1730"/>
    <cellStyle name="60% — акцент5" xfId="1731"/>
    <cellStyle name="60% - Акцент5 10" xfId="1732"/>
    <cellStyle name="60% - Акцент5 2" xfId="1733"/>
    <cellStyle name="60% - Акцент5 2 2" xfId="1734"/>
    <cellStyle name="60% - Акцент5 3" xfId="1735"/>
    <cellStyle name="60% - Акцент5 3 2" xfId="1736"/>
    <cellStyle name="60% - Акцент5 4" xfId="1737"/>
    <cellStyle name="60% - Акцент5 4 2" xfId="1738"/>
    <cellStyle name="60% - Акцент5 5" xfId="1739"/>
    <cellStyle name="60% - Акцент5 5 2" xfId="1740"/>
    <cellStyle name="60% - Акцент5 6" xfId="1741"/>
    <cellStyle name="60% - Акцент5 6 2" xfId="1742"/>
    <cellStyle name="60% - Акцент5 7" xfId="1743"/>
    <cellStyle name="60% - Акцент5 7 2" xfId="1744"/>
    <cellStyle name="60% - Акцент5 8" xfId="1745"/>
    <cellStyle name="60% - Акцент5 8 2" xfId="1746"/>
    <cellStyle name="60% - Акцент5 9" xfId="1747"/>
    <cellStyle name="60% - Акцент5 9 2" xfId="1748"/>
    <cellStyle name="60% — акцент6" xfId="1749"/>
    <cellStyle name="60% - Акцент6 10" xfId="1750"/>
    <cellStyle name="60% - Акцент6 2" xfId="1751"/>
    <cellStyle name="60% - Акцент6 2 2" xfId="1752"/>
    <cellStyle name="60% - Акцент6 3" xfId="1753"/>
    <cellStyle name="60% - Акцент6 3 2" xfId="1754"/>
    <cellStyle name="60% - Акцент6 4" xfId="1755"/>
    <cellStyle name="60% - Акцент6 4 2" xfId="1756"/>
    <cellStyle name="60% - Акцент6 5" xfId="1757"/>
    <cellStyle name="60% - Акцент6 5 2" xfId="1758"/>
    <cellStyle name="60% - Акцент6 6" xfId="1759"/>
    <cellStyle name="60% - Акцент6 6 2" xfId="1760"/>
    <cellStyle name="60% - Акцент6 7" xfId="1761"/>
    <cellStyle name="60% - Акцент6 7 2" xfId="1762"/>
    <cellStyle name="60% - Акцент6 8" xfId="1763"/>
    <cellStyle name="60% - Акцент6 8 2" xfId="1764"/>
    <cellStyle name="60% - Акцент6 9" xfId="1765"/>
    <cellStyle name="60% - Акцент6 9 2" xfId="1766"/>
    <cellStyle name="6Code" xfId="1767"/>
    <cellStyle name="8pt" xfId="1768"/>
    <cellStyle name="Aaia?iue [0]_?anoiau" xfId="1769"/>
    <cellStyle name="Aaia?iue_?anoiau" xfId="1770"/>
    <cellStyle name="Accent1" xfId="1771"/>
    <cellStyle name="Accent1 - 20%" xfId="1772"/>
    <cellStyle name="Accent1 - 40%" xfId="1773"/>
    <cellStyle name="Accent1 - 60%" xfId="1774"/>
    <cellStyle name="Accent2" xfId="1775"/>
    <cellStyle name="Accent2 - 20%" xfId="1776"/>
    <cellStyle name="Accent2 - 40%" xfId="1777"/>
    <cellStyle name="Accent2 - 60%" xfId="1778"/>
    <cellStyle name="Accent3" xfId="1779"/>
    <cellStyle name="Accent3 - 20%" xfId="1780"/>
    <cellStyle name="Accent3 - 40%" xfId="1781"/>
    <cellStyle name="Accent3 - 60%" xfId="1782"/>
    <cellStyle name="Accent3_Справочник предприятий" xfId="1783"/>
    <cellStyle name="Accent4" xfId="1784"/>
    <cellStyle name="Accent4 - 20%" xfId="1785"/>
    <cellStyle name="Accent4 - 40%" xfId="1786"/>
    <cellStyle name="Accent4 - 60%" xfId="1787"/>
    <cellStyle name="Accent4_Справочник предприятий" xfId="1788"/>
    <cellStyle name="Accent5" xfId="1789"/>
    <cellStyle name="Accent5 - 20%" xfId="1790"/>
    <cellStyle name="Accent5 - 40%" xfId="1791"/>
    <cellStyle name="Accent5 - 60%" xfId="1792"/>
    <cellStyle name="Accent5_Справочник предприятий" xfId="1793"/>
    <cellStyle name="Accent6" xfId="1794"/>
    <cellStyle name="Accent6 - 20%" xfId="1795"/>
    <cellStyle name="Accent6 - 40%" xfId="1796"/>
    <cellStyle name="Accent6 - 60%" xfId="1797"/>
    <cellStyle name="Accent6_Справочник предприятий" xfId="1798"/>
    <cellStyle name="Ăčďĺđńńűëęŕ" xfId="1799"/>
    <cellStyle name="Aeia?nnueea" xfId="1800"/>
    <cellStyle name="AFE" xfId="1801"/>
    <cellStyle name="Áĺççŕůčňíűé" xfId="1802"/>
    <cellStyle name="Áĺççŕůčňíűé 2" xfId="1803"/>
    <cellStyle name="Áĺççŕůčňíűé 3" xfId="1804"/>
    <cellStyle name="Áĺççŕůčňíűé 4" xfId="1805"/>
    <cellStyle name="Alex" xfId="1806"/>
    <cellStyle name="Äĺíĺćíűé [0]_(ňŕá 3č)" xfId="1807"/>
    <cellStyle name="Äĺíĺćíűé_(ňŕá 3č)" xfId="1808"/>
    <cellStyle name="AutoFormat Options" xfId="1809"/>
    <cellStyle name="Availability" xfId="1810"/>
    <cellStyle name="Bad" xfId="1811"/>
    <cellStyle name="Blue" xfId="1812"/>
    <cellStyle name="Body_$Dollars" xfId="1813"/>
    <cellStyle name="Calc Currency (0)" xfId="1814"/>
    <cellStyle name="Calculation" xfId="1815"/>
    <cellStyle name="Calculation 10" xfId="1816"/>
    <cellStyle name="Calculation 11" xfId="1817"/>
    <cellStyle name="Calculation 12" xfId="1818"/>
    <cellStyle name="Calculation 13" xfId="1819"/>
    <cellStyle name="Calculation 14" xfId="1820"/>
    <cellStyle name="Calculation 15" xfId="1821"/>
    <cellStyle name="Calculation 16" xfId="1822"/>
    <cellStyle name="Calculation 17" xfId="1823"/>
    <cellStyle name="Calculation 18" xfId="1824"/>
    <cellStyle name="Calculation 19" xfId="1825"/>
    <cellStyle name="Calculation 2" xfId="1826"/>
    <cellStyle name="Calculation 2 2" xfId="1827"/>
    <cellStyle name="Calculation 2 2 2" xfId="1828"/>
    <cellStyle name="Calculation 2 2 3" xfId="1829"/>
    <cellStyle name="Calculation 2 2 4" xfId="1830"/>
    <cellStyle name="Calculation 2 3" xfId="1831"/>
    <cellStyle name="Calculation 2 4" xfId="1832"/>
    <cellStyle name="Calculation 2 5" xfId="1833"/>
    <cellStyle name="Calculation 20" xfId="1834"/>
    <cellStyle name="Calculation 21" xfId="1835"/>
    <cellStyle name="Calculation 22" xfId="1836"/>
    <cellStyle name="Calculation 23" xfId="1837"/>
    <cellStyle name="Calculation 24" xfId="1838"/>
    <cellStyle name="Calculation 25" xfId="1839"/>
    <cellStyle name="Calculation 26" xfId="1840"/>
    <cellStyle name="Calculation 27" xfId="1841"/>
    <cellStyle name="Calculation 28" xfId="1842"/>
    <cellStyle name="Calculation 29" xfId="1843"/>
    <cellStyle name="Calculation 3" xfId="1844"/>
    <cellStyle name="Calculation 3 2" xfId="1845"/>
    <cellStyle name="Calculation 3 2 2" xfId="1846"/>
    <cellStyle name="Calculation 3 2 3" xfId="1847"/>
    <cellStyle name="Calculation 3 2 4" xfId="1848"/>
    <cellStyle name="Calculation 3 3" xfId="1849"/>
    <cellStyle name="Calculation 3 4" xfId="1850"/>
    <cellStyle name="Calculation 3 5" xfId="1851"/>
    <cellStyle name="Calculation 30" xfId="1852"/>
    <cellStyle name="Calculation 31" xfId="1853"/>
    <cellStyle name="Calculation 32" xfId="1854"/>
    <cellStyle name="Calculation 33" xfId="1855"/>
    <cellStyle name="Calculation 34" xfId="1856"/>
    <cellStyle name="Calculation 35" xfId="1857"/>
    <cellStyle name="Calculation 36" xfId="1858"/>
    <cellStyle name="Calculation 37" xfId="1859"/>
    <cellStyle name="Calculation 38" xfId="1860"/>
    <cellStyle name="Calculation 39" xfId="1861"/>
    <cellStyle name="Calculation 4" xfId="1862"/>
    <cellStyle name="Calculation 4 2" xfId="1863"/>
    <cellStyle name="Calculation 4 2 2" xfId="1864"/>
    <cellStyle name="Calculation 4 2 3" xfId="1865"/>
    <cellStyle name="Calculation 4 2 4" xfId="1866"/>
    <cellStyle name="Calculation 4 3" xfId="1867"/>
    <cellStyle name="Calculation 4 4" xfId="1868"/>
    <cellStyle name="Calculation 4 5" xfId="1869"/>
    <cellStyle name="Calculation 40" xfId="1870"/>
    <cellStyle name="Calculation 41" xfId="1871"/>
    <cellStyle name="Calculation 42" xfId="1872"/>
    <cellStyle name="Calculation 43" xfId="1873"/>
    <cellStyle name="Calculation 44" xfId="1874"/>
    <cellStyle name="Calculation 5" xfId="1875"/>
    <cellStyle name="Calculation 5 2" xfId="1876"/>
    <cellStyle name="Calculation 5 2 2" xfId="1877"/>
    <cellStyle name="Calculation 5 2 3" xfId="1878"/>
    <cellStyle name="Calculation 5 2 4" xfId="1879"/>
    <cellStyle name="Calculation 5 3" xfId="1880"/>
    <cellStyle name="Calculation 5 4" xfId="1881"/>
    <cellStyle name="Calculation 5 5" xfId="1882"/>
    <cellStyle name="Calculation 6" xfId="1883"/>
    <cellStyle name="Calculation 6 2" xfId="1884"/>
    <cellStyle name="Calculation 6 3" xfId="1885"/>
    <cellStyle name="Calculation 6 4" xfId="1886"/>
    <cellStyle name="Calculation 7" xfId="1887"/>
    <cellStyle name="Calculation 8" xfId="1888"/>
    <cellStyle name="Calculation 9" xfId="1889"/>
    <cellStyle name="Cells 2" xfId="1890"/>
    <cellStyle name="Cells 2 2" xfId="1891"/>
    <cellStyle name="Cells 2 3" xfId="1892"/>
    <cellStyle name="Cells 2 4" xfId="1893"/>
    <cellStyle name="Check Cell" xfId="1894"/>
    <cellStyle name="Chek" xfId="1895"/>
    <cellStyle name="Chek 2" xfId="1896"/>
    <cellStyle name="Chek 2 2" xfId="1897"/>
    <cellStyle name="Chek 2 2 2" xfId="1898"/>
    <cellStyle name="Chek 2 2 3" xfId="1899"/>
    <cellStyle name="Chek 2 2 4" xfId="1900"/>
    <cellStyle name="Chek 2 3" xfId="1901"/>
    <cellStyle name="Chek 2 4" xfId="1902"/>
    <cellStyle name="Chek 2 5" xfId="1903"/>
    <cellStyle name="Chek 3" xfId="1904"/>
    <cellStyle name="Chek 3 2" xfId="1905"/>
    <cellStyle name="Chek 3 2 2" xfId="1906"/>
    <cellStyle name="Chek 3 2 3" xfId="1907"/>
    <cellStyle name="Chek 3 2 4" xfId="1908"/>
    <cellStyle name="Chek 3 3" xfId="1909"/>
    <cellStyle name="Chek 3 4" xfId="1910"/>
    <cellStyle name="Chek 3 5" xfId="1911"/>
    <cellStyle name="Chek 4" xfId="1912"/>
    <cellStyle name="Chek 4 2" xfId="1913"/>
    <cellStyle name="Chek 4 2 2" xfId="1914"/>
    <cellStyle name="Chek 4 2 3" xfId="1915"/>
    <cellStyle name="Chek 4 2 4" xfId="1916"/>
    <cellStyle name="Chek 4 3" xfId="1917"/>
    <cellStyle name="Chek 4 4" xfId="1918"/>
    <cellStyle name="Chek 4 5" xfId="1919"/>
    <cellStyle name="Chek 5" xfId="1920"/>
    <cellStyle name="Chek 5 2" xfId="1921"/>
    <cellStyle name="Chek 5 3" xfId="1922"/>
    <cellStyle name="Chek 5 4" xfId="1923"/>
    <cellStyle name="Chek 6" xfId="1924"/>
    <cellStyle name="Chek 7" xfId="1925"/>
    <cellStyle name="Chek 8" xfId="1926"/>
    <cellStyle name="Code" xfId="1927"/>
    <cellStyle name="Comma" xfId="1928"/>
    <cellStyle name="Comma [0]_(1)" xfId="1929"/>
    <cellStyle name="Comma 0" xfId="1930"/>
    <cellStyle name="Comma 0*" xfId="1931"/>
    <cellStyle name="Comma 2" xfId="1932"/>
    <cellStyle name="Comma 2 2" xfId="1933"/>
    <cellStyle name="Comma 2 2 2" xfId="1934"/>
    <cellStyle name="Comma 2 2 2 2" xfId="1935"/>
    <cellStyle name="Comma 2 2 3" xfId="1936"/>
    <cellStyle name="Comma 2 3" xfId="1937"/>
    <cellStyle name="Comma 2 3 2" xfId="1938"/>
    <cellStyle name="Comma 2 4" xfId="1939"/>
    <cellStyle name="Comma 3" xfId="1940"/>
    <cellStyle name="Comma 3*" xfId="1941"/>
    <cellStyle name="Comma 4" xfId="1942"/>
    <cellStyle name="Comma 4 2" xfId="1943"/>
    <cellStyle name="Comma 4 2 2" xfId="1944"/>
    <cellStyle name="Comma 4 2 2 2" xfId="1945"/>
    <cellStyle name="Comma 4 2 3" xfId="1946"/>
    <cellStyle name="Comma 4 3" xfId="1947"/>
    <cellStyle name="Comma 4 3 2" xfId="1948"/>
    <cellStyle name="Comma 4 4" xfId="1949"/>
    <cellStyle name="Comma 5" xfId="1950"/>
    <cellStyle name="Comma 6" xfId="1951"/>
    <cellStyle name="Comma 6 2" xfId="1952"/>
    <cellStyle name="Comma 7" xfId="1953"/>
    <cellStyle name="Comma 7 2" xfId="1954"/>
    <cellStyle name="Comma_(1)" xfId="1955"/>
    <cellStyle name="Comma0" xfId="1956"/>
    <cellStyle name="Conor 1" xfId="1957"/>
    <cellStyle name="Conor1" xfId="1958"/>
    <cellStyle name="Conor2" xfId="1959"/>
    <cellStyle name="Çŕůčňíűé" xfId="1960"/>
    <cellStyle name="Çŕůčňíűé 2" xfId="1961"/>
    <cellStyle name="Çŕůčňíűé 3" xfId="1962"/>
    <cellStyle name="Çŕůčňíűé 4" xfId="1963"/>
    <cellStyle name="Currency" xfId="1964"/>
    <cellStyle name="Currency [0]" xfId="1965"/>
    <cellStyle name="Currency [0] 2" xfId="1966"/>
    <cellStyle name="Currency [0] 2 10" xfId="1967"/>
    <cellStyle name="Currency [0] 2 11" xfId="1968"/>
    <cellStyle name="Currency [0] 2 2" xfId="1969"/>
    <cellStyle name="Currency [0] 2 2 2" xfId="1970"/>
    <cellStyle name="Currency [0] 2 2 3" xfId="1971"/>
    <cellStyle name="Currency [0] 2 2 4" xfId="1972"/>
    <cellStyle name="Currency [0] 2 3" xfId="1973"/>
    <cellStyle name="Currency [0] 2 3 2" xfId="1974"/>
    <cellStyle name="Currency [0] 2 3 3" xfId="1975"/>
    <cellStyle name="Currency [0] 2 3 4" xfId="1976"/>
    <cellStyle name="Currency [0] 2 4" xfId="1977"/>
    <cellStyle name="Currency [0] 2 4 2" xfId="1978"/>
    <cellStyle name="Currency [0] 2 4 3" xfId="1979"/>
    <cellStyle name="Currency [0] 2 4 4" xfId="1980"/>
    <cellStyle name="Currency [0] 2 5" xfId="1981"/>
    <cellStyle name="Currency [0] 2 5 2" xfId="1982"/>
    <cellStyle name="Currency [0] 2 5 3" xfId="1983"/>
    <cellStyle name="Currency [0] 2 5 4" xfId="1984"/>
    <cellStyle name="Currency [0] 2 6" xfId="1985"/>
    <cellStyle name="Currency [0] 2 6 2" xfId="1986"/>
    <cellStyle name="Currency [0] 2 6 3" xfId="1987"/>
    <cellStyle name="Currency [0] 2 6 4" xfId="1988"/>
    <cellStyle name="Currency [0] 2 7" xfId="1989"/>
    <cellStyle name="Currency [0] 2 7 2" xfId="1990"/>
    <cellStyle name="Currency [0] 2 7 3" xfId="1991"/>
    <cellStyle name="Currency [0] 2 7 4" xfId="1992"/>
    <cellStyle name="Currency [0] 2 8" xfId="1993"/>
    <cellStyle name="Currency [0] 2 8 2" xfId="1994"/>
    <cellStyle name="Currency [0] 2 8 3" xfId="1995"/>
    <cellStyle name="Currency [0] 2 8 4" xfId="1996"/>
    <cellStyle name="Currency [0] 2 9" xfId="1997"/>
    <cellStyle name="Currency [0] 3" xfId="1998"/>
    <cellStyle name="Currency [0] 3 10" xfId="1999"/>
    <cellStyle name="Currency [0] 3 11" xfId="2000"/>
    <cellStyle name="Currency [0] 3 2" xfId="2001"/>
    <cellStyle name="Currency [0] 3 2 2" xfId="2002"/>
    <cellStyle name="Currency [0] 3 2 3" xfId="2003"/>
    <cellStyle name="Currency [0] 3 2 4" xfId="2004"/>
    <cellStyle name="Currency [0] 3 3" xfId="2005"/>
    <cellStyle name="Currency [0] 3 3 2" xfId="2006"/>
    <cellStyle name="Currency [0] 3 3 3" xfId="2007"/>
    <cellStyle name="Currency [0] 3 3 4" xfId="2008"/>
    <cellStyle name="Currency [0] 3 4" xfId="2009"/>
    <cellStyle name="Currency [0] 3 4 2" xfId="2010"/>
    <cellStyle name="Currency [0] 3 4 3" xfId="2011"/>
    <cellStyle name="Currency [0] 3 4 4" xfId="2012"/>
    <cellStyle name="Currency [0] 3 5" xfId="2013"/>
    <cellStyle name="Currency [0] 3 5 2" xfId="2014"/>
    <cellStyle name="Currency [0] 3 5 3" xfId="2015"/>
    <cellStyle name="Currency [0] 3 5 4" xfId="2016"/>
    <cellStyle name="Currency [0] 3 6" xfId="2017"/>
    <cellStyle name="Currency [0] 3 6 2" xfId="2018"/>
    <cellStyle name="Currency [0] 3 6 3" xfId="2019"/>
    <cellStyle name="Currency [0] 3 6 4" xfId="2020"/>
    <cellStyle name="Currency [0] 3 7" xfId="2021"/>
    <cellStyle name="Currency [0] 3 7 2" xfId="2022"/>
    <cellStyle name="Currency [0] 3 7 3" xfId="2023"/>
    <cellStyle name="Currency [0] 3 7 4" xfId="2024"/>
    <cellStyle name="Currency [0] 3 8" xfId="2025"/>
    <cellStyle name="Currency [0] 3 8 2" xfId="2026"/>
    <cellStyle name="Currency [0] 3 8 3" xfId="2027"/>
    <cellStyle name="Currency [0] 3 8 4" xfId="2028"/>
    <cellStyle name="Currency [0] 3 9" xfId="2029"/>
    <cellStyle name="Currency [0] 4" xfId="2030"/>
    <cellStyle name="Currency [0] 4 10" xfId="2031"/>
    <cellStyle name="Currency [0] 4 11" xfId="2032"/>
    <cellStyle name="Currency [0] 4 2" xfId="2033"/>
    <cellStyle name="Currency [0] 4 2 2" xfId="2034"/>
    <cellStyle name="Currency [0] 4 2 3" xfId="2035"/>
    <cellStyle name="Currency [0] 4 2 4" xfId="2036"/>
    <cellStyle name="Currency [0] 4 3" xfId="2037"/>
    <cellStyle name="Currency [0] 4 3 2" xfId="2038"/>
    <cellStyle name="Currency [0] 4 3 3" xfId="2039"/>
    <cellStyle name="Currency [0] 4 3 4" xfId="2040"/>
    <cellStyle name="Currency [0] 4 4" xfId="2041"/>
    <cellStyle name="Currency [0] 4 4 2" xfId="2042"/>
    <cellStyle name="Currency [0] 4 4 3" xfId="2043"/>
    <cellStyle name="Currency [0] 4 4 4" xfId="2044"/>
    <cellStyle name="Currency [0] 4 5" xfId="2045"/>
    <cellStyle name="Currency [0] 4 5 2" xfId="2046"/>
    <cellStyle name="Currency [0] 4 5 3" xfId="2047"/>
    <cellStyle name="Currency [0] 4 5 4" xfId="2048"/>
    <cellStyle name="Currency [0] 4 6" xfId="2049"/>
    <cellStyle name="Currency [0] 4 6 2" xfId="2050"/>
    <cellStyle name="Currency [0] 4 6 3" xfId="2051"/>
    <cellStyle name="Currency [0] 4 6 4" xfId="2052"/>
    <cellStyle name="Currency [0] 4 7" xfId="2053"/>
    <cellStyle name="Currency [0] 4 7 2" xfId="2054"/>
    <cellStyle name="Currency [0] 4 7 3" xfId="2055"/>
    <cellStyle name="Currency [0] 4 7 4" xfId="2056"/>
    <cellStyle name="Currency [0] 4 8" xfId="2057"/>
    <cellStyle name="Currency [0] 4 8 2" xfId="2058"/>
    <cellStyle name="Currency [0] 4 8 3" xfId="2059"/>
    <cellStyle name="Currency [0] 4 8 4" xfId="2060"/>
    <cellStyle name="Currency [0] 4 9" xfId="2061"/>
    <cellStyle name="Currency [0] 5" xfId="2062"/>
    <cellStyle name="Currency [0] 5 10" xfId="2063"/>
    <cellStyle name="Currency [0] 5 11" xfId="2064"/>
    <cellStyle name="Currency [0] 5 2" xfId="2065"/>
    <cellStyle name="Currency [0] 5 2 2" xfId="2066"/>
    <cellStyle name="Currency [0] 5 2 3" xfId="2067"/>
    <cellStyle name="Currency [0] 5 2 4" xfId="2068"/>
    <cellStyle name="Currency [0] 5 3" xfId="2069"/>
    <cellStyle name="Currency [0] 5 3 2" xfId="2070"/>
    <cellStyle name="Currency [0] 5 3 3" xfId="2071"/>
    <cellStyle name="Currency [0] 5 3 4" xfId="2072"/>
    <cellStyle name="Currency [0] 5 4" xfId="2073"/>
    <cellStyle name="Currency [0] 5 4 2" xfId="2074"/>
    <cellStyle name="Currency [0] 5 4 3" xfId="2075"/>
    <cellStyle name="Currency [0] 5 4 4" xfId="2076"/>
    <cellStyle name="Currency [0] 5 5" xfId="2077"/>
    <cellStyle name="Currency [0] 5 5 2" xfId="2078"/>
    <cellStyle name="Currency [0] 5 5 3" xfId="2079"/>
    <cellStyle name="Currency [0] 5 5 4" xfId="2080"/>
    <cellStyle name="Currency [0] 5 6" xfId="2081"/>
    <cellStyle name="Currency [0] 5 6 2" xfId="2082"/>
    <cellStyle name="Currency [0] 5 6 3" xfId="2083"/>
    <cellStyle name="Currency [0] 5 6 4" xfId="2084"/>
    <cellStyle name="Currency [0] 5 7" xfId="2085"/>
    <cellStyle name="Currency [0] 5 7 2" xfId="2086"/>
    <cellStyle name="Currency [0] 5 7 3" xfId="2087"/>
    <cellStyle name="Currency [0] 5 7 4" xfId="2088"/>
    <cellStyle name="Currency [0] 5 8" xfId="2089"/>
    <cellStyle name="Currency [0] 5 8 2" xfId="2090"/>
    <cellStyle name="Currency [0] 5 8 3" xfId="2091"/>
    <cellStyle name="Currency [0] 5 8 4" xfId="2092"/>
    <cellStyle name="Currency [0] 5 9" xfId="2093"/>
    <cellStyle name="Currency [0] 6" xfId="2094"/>
    <cellStyle name="Currency [0] 6 2" xfId="2095"/>
    <cellStyle name="Currency [0] 6 3" xfId="2096"/>
    <cellStyle name="Currency [0] 6 4" xfId="2097"/>
    <cellStyle name="Currency [0] 7" xfId="2098"/>
    <cellStyle name="Currency [0] 7 2" xfId="2099"/>
    <cellStyle name="Currency [0] 7 3" xfId="2100"/>
    <cellStyle name="Currency [0] 7 4" xfId="2101"/>
    <cellStyle name="Currency [0] 8" xfId="2102"/>
    <cellStyle name="Currency [0] 8 2" xfId="2103"/>
    <cellStyle name="Currency [0] 8 3" xfId="2104"/>
    <cellStyle name="Currency [0] 8 4" xfId="2105"/>
    <cellStyle name="Currency [0]_Forma" xfId="2106"/>
    <cellStyle name="Currency 0" xfId="2107"/>
    <cellStyle name="Currency 2" xfId="2108"/>
    <cellStyle name="Currency EN" xfId="2109"/>
    <cellStyle name="Currency RU" xfId="2110"/>
    <cellStyle name="Currency RU calc" xfId="2111"/>
    <cellStyle name="Currency RU calc 2" xfId="2112"/>
    <cellStyle name="Currency RU calc 3" xfId="2113"/>
    <cellStyle name="Currency RU_CP-P (2)" xfId="2114"/>
    <cellStyle name="Currency_(1)" xfId="2115"/>
    <cellStyle name="Currency0" xfId="2116"/>
    <cellStyle name="Currency2" xfId="2117"/>
    <cellStyle name="Đ_x0010_" xfId="2118"/>
    <cellStyle name="Đ_x0010_?䥘Ȏ_x0013_⤀጖ē??䆈Ȏ_x0013_⬀ጘē_x0010_?䦄Ȏ" xfId="2119"/>
    <cellStyle name="Đ_x0010_?䥘Ȏ_x0013_⤀጖ē??䆈Ȏ_x0013_⬀ጘē_x0010_?䦄Ȏ 1" xfId="2120"/>
    <cellStyle name="Đ_x0010_?䥘Ȏ_x0013_⤀጖ē??䆈Ȏ_x0013_⬀ጘē_x0010_?䦄Ȏ_Приложение3_к_Регламенту_ЭХ_ФорматLife-Book_наш" xfId="2121"/>
    <cellStyle name="Date" xfId="2122"/>
    <cellStyle name="Date Aligned" xfId="2123"/>
    <cellStyle name="Date EN" xfId="2124"/>
    <cellStyle name="Date RU" xfId="2125"/>
    <cellStyle name="Dates" xfId="2126"/>
    <cellStyle name="Dezimal [0]_Compiling Utility Macros" xfId="2127"/>
    <cellStyle name="Dezimal_Compiling Utility Macros" xfId="2128"/>
    <cellStyle name="Dotted Line" xfId="2129"/>
    <cellStyle name="Dziesiętny 2" xfId="2130"/>
    <cellStyle name="E&amp;Y House" xfId="2131"/>
    <cellStyle name="E-mail" xfId="2132"/>
    <cellStyle name="E-mail 2" xfId="2133"/>
    <cellStyle name="E-mail_46EP.2011(v2.0)" xfId="2134"/>
    <cellStyle name="Emphasis 1" xfId="2135"/>
    <cellStyle name="Emphasis 2" xfId="2136"/>
    <cellStyle name="Emphasis 3" xfId="2137"/>
    <cellStyle name="Euro" xfId="2138"/>
    <cellStyle name="ew" xfId="2139"/>
    <cellStyle name="Excel Built-in Comma" xfId="2140"/>
    <cellStyle name="Excel Built-in Excel Built-in Excel Built-in Excel Built-in Excel Built-in Excel Built-in Excel Built-in Excel Built-in Excel Built-in Excel Built-in Excel Built-in Excel Built-in Excel Built-in Excel Built-in Excel Built-in TableStyleLight1" xfId="2141"/>
    <cellStyle name="Excel Built-in Excel Built-in Обычный 5" xfId="2142"/>
    <cellStyle name="Excel Built-in Excel Built-in Обычный_Смета расходов" xfId="2143"/>
    <cellStyle name="Excel Built-in Normal" xfId="2144"/>
    <cellStyle name="Excel Built-in Normal 1" xfId="2145"/>
    <cellStyle name="Excel Built-in Normal 1 2" xfId="2146"/>
    <cellStyle name="Excel Built-in Normal 2" xfId="2147"/>
    <cellStyle name="Excel Built-in Normal 2 2" xfId="2148"/>
    <cellStyle name="Excel Built-in Normal 3" xfId="2149"/>
    <cellStyle name="Excel Built-in Normal 3 2" xfId="2150"/>
    <cellStyle name="Excel Built-in Normal 4" xfId="2151"/>
    <cellStyle name="Excel Built-in Normal 5" xfId="2152"/>
    <cellStyle name="Excel Built-in Normal 6" xfId="2153"/>
    <cellStyle name="Excel Built-in Percent" xfId="2154"/>
    <cellStyle name="Explanatory Text" xfId="2155"/>
    <cellStyle name="EYColumnHeading 2" xfId="2156"/>
    <cellStyle name="EYColumnHeading 2 2" xfId="2157"/>
    <cellStyle name="EYColumnHeading 2 2 2" xfId="2158"/>
    <cellStyle name="EYColumnHeading 2 2 2 2" xfId="2159"/>
    <cellStyle name="EYColumnHeading 2 2 2 3" xfId="2160"/>
    <cellStyle name="EYColumnHeading 2 2 2 4" xfId="2161"/>
    <cellStyle name="EYColumnHeading 2 2 3" xfId="2162"/>
    <cellStyle name="EYColumnHeading 2 2 3 2" xfId="2163"/>
    <cellStyle name="EYColumnHeading 2 2 3 3" xfId="2164"/>
    <cellStyle name="EYColumnHeading 2 2 3 4" xfId="2165"/>
    <cellStyle name="EYColumnHeading 2 2 4" xfId="2166"/>
    <cellStyle name="EYColumnHeading 2 2 5" xfId="2167"/>
    <cellStyle name="EYColumnHeading 2 2 6" xfId="2168"/>
    <cellStyle name="EYColumnHeading 2 3" xfId="2169"/>
    <cellStyle name="EYColumnHeading 2 3 2" xfId="2170"/>
    <cellStyle name="EYColumnHeading 2 3 2 2" xfId="2171"/>
    <cellStyle name="EYColumnHeading 2 3 2 3" xfId="2172"/>
    <cellStyle name="EYColumnHeading 2 3 2 4" xfId="2173"/>
    <cellStyle name="EYColumnHeading 2 3 3" xfId="2174"/>
    <cellStyle name="EYColumnHeading 2 3 3 2" xfId="2175"/>
    <cellStyle name="EYColumnHeading 2 3 3 3" xfId="2176"/>
    <cellStyle name="EYColumnHeading 2 3 3 4" xfId="2177"/>
    <cellStyle name="EYColumnHeading 2 3 4" xfId="2178"/>
    <cellStyle name="EYColumnHeading 2 3 5" xfId="2179"/>
    <cellStyle name="EYColumnHeading 2 3 6" xfId="2180"/>
    <cellStyle name="EYColumnHeading 2 4" xfId="2181"/>
    <cellStyle name="EYColumnHeading 2 4 2" xfId="2182"/>
    <cellStyle name="EYColumnHeading 2 4 2 2" xfId="2183"/>
    <cellStyle name="EYColumnHeading 2 4 2 3" xfId="2184"/>
    <cellStyle name="EYColumnHeading 2 4 2 4" xfId="2185"/>
    <cellStyle name="EYColumnHeading 2 4 3" xfId="2186"/>
    <cellStyle name="EYColumnHeading 2 4 3 2" xfId="2187"/>
    <cellStyle name="EYColumnHeading 2 4 3 3" xfId="2188"/>
    <cellStyle name="EYColumnHeading 2 4 3 4" xfId="2189"/>
    <cellStyle name="EYColumnHeading 2 4 4" xfId="2190"/>
    <cellStyle name="EYColumnHeading 2 4 5" xfId="2191"/>
    <cellStyle name="EYColumnHeading 2 4 6" xfId="2192"/>
    <cellStyle name="EYColumnHeading 2 5" xfId="2193"/>
    <cellStyle name="EYColumnHeading 2 5 2" xfId="2194"/>
    <cellStyle name="EYColumnHeading 2 5 3" xfId="2195"/>
    <cellStyle name="EYColumnHeading 2 5 4" xfId="2196"/>
    <cellStyle name="EYColumnHeading 2 6" xfId="2197"/>
    <cellStyle name="EYColumnHeading 2 7" xfId="2198"/>
    <cellStyle name="EYtextbold" xfId="2199"/>
    <cellStyle name="F2" xfId="2200"/>
    <cellStyle name="F3" xfId="2201"/>
    <cellStyle name="F4" xfId="2202"/>
    <cellStyle name="F5" xfId="2203"/>
    <cellStyle name="F6" xfId="2204"/>
    <cellStyle name="F7" xfId="2205"/>
    <cellStyle name="F8" xfId="2206"/>
    <cellStyle name="Fixed" xfId="2207"/>
    <cellStyle name="fo]_x000d__x000a_UserName=Murat Zelef_x000d__x000a_UserCompany=Bumerang_x000d__x000a__x000d__x000a_[File Paths]_x000d__x000a_WorkingDirectory=C:\EQUIS\DLWIN_x000d__x000a_DownLoader=C" xfId="2208"/>
    <cellStyle name="Followed Hyperlink" xfId="2209"/>
    <cellStyle name="Footnote" xfId="2210"/>
    <cellStyle name="Good" xfId="2211"/>
    <cellStyle name="hard no" xfId="2212"/>
    <cellStyle name="hard no 2" xfId="2213"/>
    <cellStyle name="hard no 2 2" xfId="2214"/>
    <cellStyle name="hard no 2 2 2" xfId="2215"/>
    <cellStyle name="hard no 2 2 3" xfId="2216"/>
    <cellStyle name="hard no 2 2 4" xfId="2217"/>
    <cellStyle name="hard no 2 3" xfId="2218"/>
    <cellStyle name="hard no 2 4" xfId="2219"/>
    <cellStyle name="hard no 2 5" xfId="2220"/>
    <cellStyle name="hard no 3" xfId="2221"/>
    <cellStyle name="hard no 3 2" xfId="2222"/>
    <cellStyle name="hard no 3 2 2" xfId="2223"/>
    <cellStyle name="hard no 3 2 3" xfId="2224"/>
    <cellStyle name="hard no 3 2 4" xfId="2225"/>
    <cellStyle name="hard no 3 3" xfId="2226"/>
    <cellStyle name="hard no 3 4" xfId="2227"/>
    <cellStyle name="hard no 3 5" xfId="2228"/>
    <cellStyle name="hard no 4" xfId="2229"/>
    <cellStyle name="hard no 4 2" xfId="2230"/>
    <cellStyle name="hard no 4 2 2" xfId="2231"/>
    <cellStyle name="hard no 4 2 3" xfId="2232"/>
    <cellStyle name="hard no 4 2 4" xfId="2233"/>
    <cellStyle name="hard no 4 3" xfId="2234"/>
    <cellStyle name="hard no 4 4" xfId="2235"/>
    <cellStyle name="hard no 4 5" xfId="2236"/>
    <cellStyle name="hard no 5" xfId="2237"/>
    <cellStyle name="hard no 5 2" xfId="2238"/>
    <cellStyle name="hard no 5 3" xfId="2239"/>
    <cellStyle name="hard no 5 4" xfId="2240"/>
    <cellStyle name="hard no 6" xfId="2241"/>
    <cellStyle name="hard no 7" xfId="2242"/>
    <cellStyle name="hard no 8" xfId="2243"/>
    <cellStyle name="Hard Percent" xfId="2244"/>
    <cellStyle name="hardno" xfId="2245"/>
    <cellStyle name="Header" xfId="2246"/>
    <cellStyle name="Header 3" xfId="2247"/>
    <cellStyle name="Header 3 2" xfId="2248"/>
    <cellStyle name="Header 3 3" xfId="2249"/>
    <cellStyle name="Header 3 4" xfId="2250"/>
    <cellStyle name="Header1" xfId="2251"/>
    <cellStyle name="Header2" xfId="2252"/>
    <cellStyle name="Header2 10" xfId="2253"/>
    <cellStyle name="Header2 11" xfId="2254"/>
    <cellStyle name="Header2 12" xfId="2255"/>
    <cellStyle name="Header2 13" xfId="2256"/>
    <cellStyle name="Header2 14" xfId="2257"/>
    <cellStyle name="Header2 15" xfId="2258"/>
    <cellStyle name="Header2 16" xfId="2259"/>
    <cellStyle name="Header2 17" xfId="2260"/>
    <cellStyle name="Header2 18" xfId="2261"/>
    <cellStyle name="Header2 19" xfId="2262"/>
    <cellStyle name="Header2 2" xfId="2263"/>
    <cellStyle name="Header2 20" xfId="2264"/>
    <cellStyle name="Header2 21" xfId="2265"/>
    <cellStyle name="Header2 22" xfId="2266"/>
    <cellStyle name="Header2 23" xfId="2267"/>
    <cellStyle name="Header2 24" xfId="2268"/>
    <cellStyle name="Header2 25" xfId="2269"/>
    <cellStyle name="Header2 26" xfId="2270"/>
    <cellStyle name="Header2 27" xfId="2271"/>
    <cellStyle name="Header2 28" xfId="2272"/>
    <cellStyle name="Header2 29" xfId="2273"/>
    <cellStyle name="Header2 3" xfId="2274"/>
    <cellStyle name="Header2 30" xfId="2275"/>
    <cellStyle name="Header2 31" xfId="2276"/>
    <cellStyle name="Header2 32" xfId="2277"/>
    <cellStyle name="Header2 33" xfId="2278"/>
    <cellStyle name="Header2 34" xfId="2279"/>
    <cellStyle name="Header2 35" xfId="2280"/>
    <cellStyle name="Header2 36" xfId="2281"/>
    <cellStyle name="Header2 37" xfId="2282"/>
    <cellStyle name="Header2 38" xfId="2283"/>
    <cellStyle name="Header2 39" xfId="2284"/>
    <cellStyle name="Header2 4" xfId="2285"/>
    <cellStyle name="Header2 40" xfId="2286"/>
    <cellStyle name="Header2 41" xfId="2287"/>
    <cellStyle name="Header2 42" xfId="2288"/>
    <cellStyle name="Header2 5" xfId="2289"/>
    <cellStyle name="Header2 6" xfId="2290"/>
    <cellStyle name="Header2 7" xfId="2291"/>
    <cellStyle name="Header2 8" xfId="2292"/>
    <cellStyle name="Header2 9" xfId="2293"/>
    <cellStyle name="Heading" xfId="2294"/>
    <cellStyle name="Heading 1" xfId="2295"/>
    <cellStyle name="Heading 2" xfId="2296"/>
    <cellStyle name="Heading 3" xfId="2297"/>
    <cellStyle name="Heading 3 2" xfId="2298"/>
    <cellStyle name="Heading 3 3" xfId="2299"/>
    <cellStyle name="Heading 3 4" xfId="2300"/>
    <cellStyle name="Heading 4" xfId="2301"/>
    <cellStyle name="Heading_GP.ITOG.4.78(v1.0) - для разделения" xfId="2302"/>
    <cellStyle name="Heading1" xfId="2303"/>
    <cellStyle name="Heading2" xfId="2304"/>
    <cellStyle name="Heading2 2" xfId="2305"/>
    <cellStyle name="Heading2_46EP.2011(v2.0)" xfId="2306"/>
    <cellStyle name="Hyperlink" xfId="2307"/>
    <cellStyle name="Iau?iue_?anoiau" xfId="2308"/>
    <cellStyle name="Îáű÷íűé__FES" xfId="2309"/>
    <cellStyle name="Îáû÷íûé_cogs" xfId="2310"/>
    <cellStyle name="Îňęđűâŕâřŕ˙ń˙ ăčďĺđńńűëęŕ" xfId="2311"/>
    <cellStyle name="Info" xfId="2312"/>
    <cellStyle name="Info 2" xfId="2313"/>
    <cellStyle name="Info 2 2" xfId="2314"/>
    <cellStyle name="Info 2 2 2" xfId="2315"/>
    <cellStyle name="Info 2 2 3" xfId="2316"/>
    <cellStyle name="Info 2 2 4" xfId="2317"/>
    <cellStyle name="Info 2 3" xfId="2318"/>
    <cellStyle name="Info 2 4" xfId="2319"/>
    <cellStyle name="Info 2 5" xfId="2320"/>
    <cellStyle name="Info 3" xfId="2321"/>
    <cellStyle name="Info 3 2" xfId="2322"/>
    <cellStyle name="Info 3 2 2" xfId="2323"/>
    <cellStyle name="Info 3 2 3" xfId="2324"/>
    <cellStyle name="Info 3 2 4" xfId="2325"/>
    <cellStyle name="Info 3 3" xfId="2326"/>
    <cellStyle name="Info 3 4" xfId="2327"/>
    <cellStyle name="Info 3 5" xfId="2328"/>
    <cellStyle name="Info 4" xfId="2329"/>
    <cellStyle name="Info 4 2" xfId="2330"/>
    <cellStyle name="Info 4 2 2" xfId="2331"/>
    <cellStyle name="Info 4 2 3" xfId="2332"/>
    <cellStyle name="Info 4 2 4" xfId="2333"/>
    <cellStyle name="Info 4 3" xfId="2334"/>
    <cellStyle name="Info 4 4" xfId="2335"/>
    <cellStyle name="Info 4 5" xfId="2336"/>
    <cellStyle name="Info 5" xfId="2337"/>
    <cellStyle name="Info 5 2" xfId="2338"/>
    <cellStyle name="Info 5 3" xfId="2339"/>
    <cellStyle name="Info 5 4" xfId="2340"/>
    <cellStyle name="Info 6" xfId="2341"/>
    <cellStyle name="Info 7" xfId="2342"/>
    <cellStyle name="Info 8" xfId="2343"/>
    <cellStyle name="Input" xfId="2344"/>
    <cellStyle name="Input 2" xfId="2345"/>
    <cellStyle name="Input 2 2" xfId="2346"/>
    <cellStyle name="Input 2 2 2" xfId="2347"/>
    <cellStyle name="Input 2 2 3" xfId="2348"/>
    <cellStyle name="Input 2 2 4" xfId="2349"/>
    <cellStyle name="Input 2 3" xfId="2350"/>
    <cellStyle name="Input 2 4" xfId="2351"/>
    <cellStyle name="Input 2 5" xfId="2352"/>
    <cellStyle name="Input 3" xfId="2353"/>
    <cellStyle name="Input 3 2" xfId="2354"/>
    <cellStyle name="Input 3 2 2" xfId="2355"/>
    <cellStyle name="Input 3 2 3" xfId="2356"/>
    <cellStyle name="Input 3 2 4" xfId="2357"/>
    <cellStyle name="Input 3 3" xfId="2358"/>
    <cellStyle name="Input 3 4" xfId="2359"/>
    <cellStyle name="Input 3 5" xfId="2360"/>
    <cellStyle name="Input 4" xfId="2361"/>
    <cellStyle name="Input 4 2" xfId="2362"/>
    <cellStyle name="Input 4 2 2" xfId="2363"/>
    <cellStyle name="Input 4 2 3" xfId="2364"/>
    <cellStyle name="Input 4 2 4" xfId="2365"/>
    <cellStyle name="Input 4 3" xfId="2366"/>
    <cellStyle name="Input 4 4" xfId="2367"/>
    <cellStyle name="Input 4 5" xfId="2368"/>
    <cellStyle name="Input 5" xfId="2369"/>
    <cellStyle name="Input 5 2" xfId="2370"/>
    <cellStyle name="Input 5 2 2" xfId="2371"/>
    <cellStyle name="Input 5 2 3" xfId="2372"/>
    <cellStyle name="Input 5 2 4" xfId="2373"/>
    <cellStyle name="Input 5 3" xfId="2374"/>
    <cellStyle name="Input 5 4" xfId="2375"/>
    <cellStyle name="Input 5 5" xfId="2376"/>
    <cellStyle name="Input 6" xfId="2377"/>
    <cellStyle name="Input 6 2" xfId="2378"/>
    <cellStyle name="Input 6 3" xfId="2379"/>
    <cellStyle name="Input 6 4" xfId="2380"/>
    <cellStyle name="Input 7" xfId="2381"/>
    <cellStyle name="Input 8" xfId="2382"/>
    <cellStyle name="Input 9" xfId="2383"/>
    <cellStyle name="InputCurrency" xfId="2384"/>
    <cellStyle name="InputCurrency2" xfId="2385"/>
    <cellStyle name="InputMultiple1" xfId="2386"/>
    <cellStyle name="InputPercent1" xfId="2387"/>
    <cellStyle name="Inputs" xfId="2388"/>
    <cellStyle name="Inputs (const)" xfId="2389"/>
    <cellStyle name="Inputs (const) 2" xfId="2390"/>
    <cellStyle name="Inputs (const)_46EP.2011(v2.0)" xfId="2391"/>
    <cellStyle name="Inputs 2" xfId="2392"/>
    <cellStyle name="Inputs 3" xfId="2393"/>
    <cellStyle name="Inputs Co" xfId="2394"/>
    <cellStyle name="Inputs_46EE.2011(v1.0)" xfId="2395"/>
    <cellStyle name="Ioe?uaaaoayny aeia?nnueea" xfId="2396"/>
    <cellStyle name="ISO" xfId="2397"/>
    <cellStyle name="JR Cells No Values" xfId="2398"/>
    <cellStyle name="JR_ formula" xfId="2399"/>
    <cellStyle name="JRchapeau" xfId="2400"/>
    <cellStyle name="Just_Table" xfId="2401"/>
    <cellStyle name="Linked Cell" xfId="2402"/>
    <cellStyle name="Millares [0]_RESULTS" xfId="2403"/>
    <cellStyle name="Millares_RESULTS" xfId="2404"/>
    <cellStyle name="Milliers [0]_RESULTS" xfId="2405"/>
    <cellStyle name="Milliers_FA_JUIN_2004" xfId="2406"/>
    <cellStyle name="mnb" xfId="2407"/>
    <cellStyle name="mnb 10" xfId="2408"/>
    <cellStyle name="mnb 2" xfId="2409"/>
    <cellStyle name="mnb 2 2" xfId="2410"/>
    <cellStyle name="mnb 2 2 2" xfId="2411"/>
    <cellStyle name="mnb 2 2 3" xfId="2412"/>
    <cellStyle name="mnb 2 2 4" xfId="2413"/>
    <cellStyle name="mnb 2 3" xfId="2414"/>
    <cellStyle name="mnb 2 3 2" xfId="2415"/>
    <cellStyle name="mnb 2 3 3" xfId="2416"/>
    <cellStyle name="mnb 2 3 4" xfId="2417"/>
    <cellStyle name="mnb 2 4" xfId="2418"/>
    <cellStyle name="mnb 2 4 2" xfId="2419"/>
    <cellStyle name="mnb 2 4 3" xfId="2420"/>
    <cellStyle name="mnb 2 4 4" xfId="2421"/>
    <cellStyle name="mnb 2 5" xfId="2422"/>
    <cellStyle name="mnb 2 6" xfId="2423"/>
    <cellStyle name="mnb 2 7" xfId="2424"/>
    <cellStyle name="mnb 3" xfId="2425"/>
    <cellStyle name="mnb 3 2" xfId="2426"/>
    <cellStyle name="mnb 3 2 2" xfId="2427"/>
    <cellStyle name="mnb 3 2 3" xfId="2428"/>
    <cellStyle name="mnb 3 2 4" xfId="2429"/>
    <cellStyle name="mnb 3 3" xfId="2430"/>
    <cellStyle name="mnb 3 3 2" xfId="2431"/>
    <cellStyle name="mnb 3 3 3" xfId="2432"/>
    <cellStyle name="mnb 3 3 4" xfId="2433"/>
    <cellStyle name="mnb 3 4" xfId="2434"/>
    <cellStyle name="mnb 3 4 2" xfId="2435"/>
    <cellStyle name="mnb 3 4 3" xfId="2436"/>
    <cellStyle name="mnb 3 4 4" xfId="2437"/>
    <cellStyle name="mnb 3 5" xfId="2438"/>
    <cellStyle name="mnb 3 6" xfId="2439"/>
    <cellStyle name="mnb 3 7" xfId="2440"/>
    <cellStyle name="mnb 4" xfId="2441"/>
    <cellStyle name="mnb 4 2" xfId="2442"/>
    <cellStyle name="mnb 4 2 2" xfId="2443"/>
    <cellStyle name="mnb 4 2 3" xfId="2444"/>
    <cellStyle name="mnb 4 2 4" xfId="2445"/>
    <cellStyle name="mnb 4 3" xfId="2446"/>
    <cellStyle name="mnb 4 3 2" xfId="2447"/>
    <cellStyle name="mnb 4 3 3" xfId="2448"/>
    <cellStyle name="mnb 4 3 4" xfId="2449"/>
    <cellStyle name="mnb 4 4" xfId="2450"/>
    <cellStyle name="mnb 4 4 2" xfId="2451"/>
    <cellStyle name="mnb 4 4 3" xfId="2452"/>
    <cellStyle name="mnb 4 4 4" xfId="2453"/>
    <cellStyle name="mnb 4 5" xfId="2454"/>
    <cellStyle name="mnb 4 6" xfId="2455"/>
    <cellStyle name="mnb 4 7" xfId="2456"/>
    <cellStyle name="mnb 5" xfId="2457"/>
    <cellStyle name="mnb 5 2" xfId="2458"/>
    <cellStyle name="mnb 5 3" xfId="2459"/>
    <cellStyle name="mnb 5 4" xfId="2460"/>
    <cellStyle name="mnb 6" xfId="2461"/>
    <cellStyle name="mnb 6 2" xfId="2462"/>
    <cellStyle name="mnb 6 3" xfId="2463"/>
    <cellStyle name="mnb 6 4" xfId="2464"/>
    <cellStyle name="mnb 7" xfId="2465"/>
    <cellStyle name="mnb 7 2" xfId="2466"/>
    <cellStyle name="mnb 7 3" xfId="2467"/>
    <cellStyle name="mnb 7 4" xfId="2468"/>
    <cellStyle name="mnb 8" xfId="2469"/>
    <cellStyle name="mnb 9" xfId="2470"/>
    <cellStyle name="Moneda [0]_RESULTS" xfId="2471"/>
    <cellStyle name="Moneda_RESULTS" xfId="2472"/>
    <cellStyle name="Monétaire [0]_RESULTS" xfId="2473"/>
    <cellStyle name="Monétaire_RESULTS" xfId="2474"/>
    <cellStyle name="Monйtaire [0]_Conversion Summary" xfId="2475"/>
    <cellStyle name="Monйtaire_Conversion Summary" xfId="2476"/>
    <cellStyle name="Multiple" xfId="2477"/>
    <cellStyle name="Multiple1" xfId="2478"/>
    <cellStyle name="MultipleBelow" xfId="2479"/>
    <cellStyle name="mystil" xfId="2480"/>
    <cellStyle name="namber" xfId="2481"/>
    <cellStyle name="namber 2" xfId="2482"/>
    <cellStyle name="namber 3" xfId="2483"/>
    <cellStyle name="namber 4" xfId="2484"/>
    <cellStyle name="Neutral" xfId="2485"/>
    <cellStyle name="Norma11l" xfId="2486"/>
    <cellStyle name="normal" xfId="2487"/>
    <cellStyle name="Normal - Style1" xfId="2488"/>
    <cellStyle name="normal 10" xfId="2489"/>
    <cellStyle name="normal 11" xfId="2490"/>
    <cellStyle name="normal 12" xfId="2491"/>
    <cellStyle name="Normal 121" xfId="2492"/>
    <cellStyle name="normal 13" xfId="2493"/>
    <cellStyle name="Normal 136" xfId="2494"/>
    <cellStyle name="normal 14" xfId="2495"/>
    <cellStyle name="normal 15" xfId="2496"/>
    <cellStyle name="normal 16" xfId="2497"/>
    <cellStyle name="normal 17" xfId="2498"/>
    <cellStyle name="normal 18" xfId="2499"/>
    <cellStyle name="normal 19" xfId="2500"/>
    <cellStyle name="Normal 2" xfId="2501"/>
    <cellStyle name="Normal 2 2" xfId="2502"/>
    <cellStyle name="Normal 2 2 2" xfId="2503"/>
    <cellStyle name="Normal 2 2 2 2" xfId="2504"/>
    <cellStyle name="Normal 2 2 3" xfId="2505"/>
    <cellStyle name="Normal 2 3" xfId="2506"/>
    <cellStyle name="Normal 2 4" xfId="2507"/>
    <cellStyle name="Normal 2_Общехоз." xfId="2508"/>
    <cellStyle name="normal 20" xfId="2509"/>
    <cellStyle name="normal 21" xfId="2510"/>
    <cellStyle name="normal 22" xfId="2511"/>
    <cellStyle name="normal 23" xfId="2512"/>
    <cellStyle name="normal 24" xfId="2513"/>
    <cellStyle name="normal 25" xfId="2514"/>
    <cellStyle name="normal 26" xfId="2515"/>
    <cellStyle name="normal 3" xfId="2516"/>
    <cellStyle name="Normal 3 2" xfId="2517"/>
    <cellStyle name="Normal 3 2 2" xfId="2518"/>
    <cellStyle name="Normal 3 2 2 2" xfId="2519"/>
    <cellStyle name="Normal 3 2 3" xfId="2520"/>
    <cellStyle name="Normal 3 3" xfId="2521"/>
    <cellStyle name="Normal 3 3 2" xfId="2522"/>
    <cellStyle name="Normal 3 4" xfId="2523"/>
    <cellStyle name="Normal 3 4 2" xfId="2524"/>
    <cellStyle name="Normal 3 5" xfId="2525"/>
    <cellStyle name="Normal 3 5 2" xfId="2526"/>
    <cellStyle name="Normal 3 6" xfId="2527"/>
    <cellStyle name="Normal 3 6 2" xfId="2528"/>
    <cellStyle name="Normal 3 7" xfId="2529"/>
    <cellStyle name="normal 4" xfId="2530"/>
    <cellStyle name="normal 4 2" xfId="2531"/>
    <cellStyle name="normal 4 2 2" xfId="2532"/>
    <cellStyle name="normal 4 3" xfId="2533"/>
    <cellStyle name="normal 4 3 2" xfId="2534"/>
    <cellStyle name="normal 4 3 2 2" xfId="2535"/>
    <cellStyle name="normal 4 3 3" xfId="2536"/>
    <cellStyle name="normal 4 4" xfId="2537"/>
    <cellStyle name="normal 5" xfId="2538"/>
    <cellStyle name="normal 6" xfId="2539"/>
    <cellStyle name="Normal 6 2" xfId="2540"/>
    <cellStyle name="normal 7" xfId="2541"/>
    <cellStyle name="Normal 7 2" xfId="2542"/>
    <cellStyle name="normal 8" xfId="2543"/>
    <cellStyle name="Normal 8 2" xfId="2544"/>
    <cellStyle name="normal 9" xfId="2545"/>
    <cellStyle name="Normal 9 2" xfId="2546"/>
    <cellStyle name="Normal." xfId="2547"/>
    <cellStyle name="Normal_%Формы" xfId="2548"/>
    <cellStyle name="Normal1" xfId="2549"/>
    <cellStyle name="Normal2" xfId="2550"/>
    <cellStyle name="NormalGB" xfId="2551"/>
    <cellStyle name="Normalny 2" xfId="2552"/>
    <cellStyle name="Normalny 3" xfId="2553"/>
    <cellStyle name="Normalny 4" xfId="2554"/>
    <cellStyle name="Normalny 5" xfId="2555"/>
    <cellStyle name="Normalny 6" xfId="2556"/>
    <cellStyle name="Normalny 7" xfId="2557"/>
    <cellStyle name="Normalny_24. 02. 97." xfId="2558"/>
    <cellStyle name="normбlnм_laroux" xfId="2559"/>
    <cellStyle name="Note" xfId="2560"/>
    <cellStyle name="Note 10" xfId="2561"/>
    <cellStyle name="Note 11" xfId="2562"/>
    <cellStyle name="Note 12" xfId="2563"/>
    <cellStyle name="Note 13" xfId="2564"/>
    <cellStyle name="Note 14" xfId="2565"/>
    <cellStyle name="Note 15" xfId="2566"/>
    <cellStyle name="Note 16" xfId="2567"/>
    <cellStyle name="Note 17" xfId="2568"/>
    <cellStyle name="Note 18" xfId="2569"/>
    <cellStyle name="Note 19" xfId="2570"/>
    <cellStyle name="Note 2" xfId="2571"/>
    <cellStyle name="Note 2 10" xfId="2572"/>
    <cellStyle name="Note 2 11" xfId="2573"/>
    <cellStyle name="Note 2 12" xfId="2574"/>
    <cellStyle name="Note 2 13" xfId="2575"/>
    <cellStyle name="Note 2 14" xfId="2576"/>
    <cellStyle name="Note 2 15" xfId="2577"/>
    <cellStyle name="Note 2 16" xfId="2578"/>
    <cellStyle name="Note 2 17" xfId="2579"/>
    <cellStyle name="Note 2 18" xfId="2580"/>
    <cellStyle name="Note 2 19" xfId="2581"/>
    <cellStyle name="Note 2 2" xfId="2582"/>
    <cellStyle name="Note 2 2 2" xfId="2583"/>
    <cellStyle name="Note 2 2 3" xfId="2584"/>
    <cellStyle name="Note 2 2 4" xfId="2585"/>
    <cellStyle name="Note 2 20" xfId="2586"/>
    <cellStyle name="Note 2 21" xfId="2587"/>
    <cellStyle name="Note 2 22" xfId="2588"/>
    <cellStyle name="Note 2 23" xfId="2589"/>
    <cellStyle name="Note 2 24" xfId="2590"/>
    <cellStyle name="Note 2 25" xfId="2591"/>
    <cellStyle name="Note 2 26" xfId="2592"/>
    <cellStyle name="Note 2 27" xfId="2593"/>
    <cellStyle name="Note 2 28" xfId="2594"/>
    <cellStyle name="Note 2 29" xfId="2595"/>
    <cellStyle name="Note 2 3" xfId="2596"/>
    <cellStyle name="Note 2 30" xfId="2597"/>
    <cellStyle name="Note 2 31" xfId="2598"/>
    <cellStyle name="Note 2 32" xfId="2599"/>
    <cellStyle name="Note 2 33" xfId="2600"/>
    <cellStyle name="Note 2 34" xfId="2601"/>
    <cellStyle name="Note 2 35" xfId="2602"/>
    <cellStyle name="Note 2 36" xfId="2603"/>
    <cellStyle name="Note 2 37" xfId="2604"/>
    <cellStyle name="Note 2 38" xfId="2605"/>
    <cellStyle name="Note 2 39" xfId="2606"/>
    <cellStyle name="Note 2 4" xfId="2607"/>
    <cellStyle name="Note 2 40" xfId="2608"/>
    <cellStyle name="Note 2 41" xfId="2609"/>
    <cellStyle name="Note 2 42" xfId="2610"/>
    <cellStyle name="Note 2 43" xfId="2611"/>
    <cellStyle name="Note 2 44" xfId="2612"/>
    <cellStyle name="Note 2 5" xfId="2613"/>
    <cellStyle name="Note 2 6" xfId="2614"/>
    <cellStyle name="Note 2 7" xfId="2615"/>
    <cellStyle name="Note 2 8" xfId="2616"/>
    <cellStyle name="Note 2 9" xfId="2617"/>
    <cellStyle name="Note 20" xfId="2618"/>
    <cellStyle name="Note 21" xfId="2619"/>
    <cellStyle name="Note 22" xfId="2620"/>
    <cellStyle name="Note 23" xfId="2621"/>
    <cellStyle name="Note 24" xfId="2622"/>
    <cellStyle name="Note 25" xfId="2623"/>
    <cellStyle name="Note 26" xfId="2624"/>
    <cellStyle name="Note 27" xfId="2625"/>
    <cellStyle name="Note 28" xfId="2626"/>
    <cellStyle name="Note 29" xfId="2627"/>
    <cellStyle name="Note 3" xfId="2628"/>
    <cellStyle name="Note 3 2" xfId="2629"/>
    <cellStyle name="Note 3 2 2" xfId="2630"/>
    <cellStyle name="Note 3 2 3" xfId="2631"/>
    <cellStyle name="Note 3 2 4" xfId="2632"/>
    <cellStyle name="Note 3 3" xfId="2633"/>
    <cellStyle name="Note 3 4" xfId="2634"/>
    <cellStyle name="Note 3 5" xfId="2635"/>
    <cellStyle name="Note 30" xfId="2636"/>
    <cellStyle name="Note 31" xfId="2637"/>
    <cellStyle name="Note 32" xfId="2638"/>
    <cellStyle name="Note 33" xfId="2639"/>
    <cellStyle name="Note 34" xfId="2640"/>
    <cellStyle name="Note 35" xfId="2641"/>
    <cellStyle name="Note 36" xfId="2642"/>
    <cellStyle name="Note 37" xfId="2643"/>
    <cellStyle name="Note 38" xfId="2644"/>
    <cellStyle name="Note 39" xfId="2645"/>
    <cellStyle name="Note 4" xfId="2646"/>
    <cellStyle name="Note 4 2" xfId="2647"/>
    <cellStyle name="Note 4 2 2" xfId="2648"/>
    <cellStyle name="Note 4 2 3" xfId="2649"/>
    <cellStyle name="Note 4 2 4" xfId="2650"/>
    <cellStyle name="Note 4 3" xfId="2651"/>
    <cellStyle name="Note 4 4" xfId="2652"/>
    <cellStyle name="Note 4 5" xfId="2653"/>
    <cellStyle name="Note 40" xfId="2654"/>
    <cellStyle name="Note 41" xfId="2655"/>
    <cellStyle name="Note 42" xfId="2656"/>
    <cellStyle name="Note 43" xfId="2657"/>
    <cellStyle name="Note 44" xfId="2658"/>
    <cellStyle name="Note 45" xfId="2659"/>
    <cellStyle name="Note 5" xfId="2660"/>
    <cellStyle name="Note 5 2" xfId="2661"/>
    <cellStyle name="Note 5 2 2" xfId="2662"/>
    <cellStyle name="Note 5 2 3" xfId="2663"/>
    <cellStyle name="Note 5 2 4" xfId="2664"/>
    <cellStyle name="Note 5 3" xfId="2665"/>
    <cellStyle name="Note 5 4" xfId="2666"/>
    <cellStyle name="Note 5 5" xfId="2667"/>
    <cellStyle name="Note 6" xfId="2668"/>
    <cellStyle name="Note 6 2" xfId="2669"/>
    <cellStyle name="Note 6 3" xfId="2670"/>
    <cellStyle name="Note 6 4" xfId="2671"/>
    <cellStyle name="Note 7" xfId="2672"/>
    <cellStyle name="Note 8" xfId="2673"/>
    <cellStyle name="Note 9" xfId="2674"/>
    <cellStyle name="number" xfId="2675"/>
    <cellStyle name="№йєРАІ_±вЕё" xfId="2676"/>
    <cellStyle name="Ôčíŕíńîâűé [0]_(ňŕá 3č)" xfId="2677"/>
    <cellStyle name="Ôčíŕíńîâűé_(ňŕá 3č)" xfId="2678"/>
    <cellStyle name="Oeiainiaue [0]_?anoiau" xfId="2679"/>
    <cellStyle name="Oeiainiaue_?anoiau" xfId="2680"/>
    <cellStyle name="oft Excel]_x000d__x000a_Comment=Строки open=/f добавляют пользовательские функции к списку Вставить функцию._x000d__x000a_Maximized=3_x000d__x000a_Basi" xfId="2681"/>
    <cellStyle name="oft Excel]_x000d__x000a_Comment=Строки open=/f добавляют пользовательские функции к списку Вставить функцию._x000d__x000a_Maximized=3_x000d__x000a_Basi 2" xfId="2682"/>
    <cellStyle name="oft Excel]_x000d__x000a_Comment=Строки open=/f добавляют пользовательские функции к списку Вставить функцию._x000d__x000a_Maximized=3_x000d__x000a_Basi_Формы ежемесячной отчетности на 2012 год (ВО)" xfId="2683"/>
    <cellStyle name="Option" xfId="2684"/>
    <cellStyle name="Organization" xfId="2685"/>
    <cellStyle name="Organization 10" xfId="2686"/>
    <cellStyle name="Organization 11" xfId="2687"/>
    <cellStyle name="Organization 12" xfId="2688"/>
    <cellStyle name="Organization 13" xfId="2689"/>
    <cellStyle name="Organization 14" xfId="2690"/>
    <cellStyle name="Organization 15" xfId="2691"/>
    <cellStyle name="Organization 16" xfId="2692"/>
    <cellStyle name="Organization 17" xfId="2693"/>
    <cellStyle name="Organization 18" xfId="2694"/>
    <cellStyle name="Organization 19" xfId="2695"/>
    <cellStyle name="Organization 2" xfId="2696"/>
    <cellStyle name="Organization 20" xfId="2697"/>
    <cellStyle name="Organization 21" xfId="2698"/>
    <cellStyle name="Organization 22" xfId="2699"/>
    <cellStyle name="Organization 23" xfId="2700"/>
    <cellStyle name="Organization 24" xfId="2701"/>
    <cellStyle name="Organization 25" xfId="2702"/>
    <cellStyle name="Organization 26" xfId="2703"/>
    <cellStyle name="Organization 27" xfId="2704"/>
    <cellStyle name="Organization 28" xfId="2705"/>
    <cellStyle name="Organization 29" xfId="2706"/>
    <cellStyle name="Organization 3" xfId="2707"/>
    <cellStyle name="Organization 30" xfId="2708"/>
    <cellStyle name="Organization 31" xfId="2709"/>
    <cellStyle name="Organization 32" xfId="2710"/>
    <cellStyle name="Organization 33" xfId="2711"/>
    <cellStyle name="Organization 34" xfId="2712"/>
    <cellStyle name="Organization 35" xfId="2713"/>
    <cellStyle name="Organization 36" xfId="2714"/>
    <cellStyle name="Organization 37" xfId="2715"/>
    <cellStyle name="Organization 38" xfId="2716"/>
    <cellStyle name="Organization 39" xfId="2717"/>
    <cellStyle name="Organization 4" xfId="2718"/>
    <cellStyle name="Organization 40" xfId="2719"/>
    <cellStyle name="Organization 41" xfId="2720"/>
    <cellStyle name="Organization 42" xfId="2721"/>
    <cellStyle name="Organization 5" xfId="2722"/>
    <cellStyle name="Organization 6" xfId="2723"/>
    <cellStyle name="Organization 7" xfId="2724"/>
    <cellStyle name="Organization 8" xfId="2725"/>
    <cellStyle name="Organization 9" xfId="2726"/>
    <cellStyle name="Ouny?e [0]_?anoiau" xfId="2727"/>
    <cellStyle name="Ouny?e_?anoiau" xfId="2728"/>
    <cellStyle name="Òûñÿ÷è [0]_cogs" xfId="2729"/>
    <cellStyle name="Òûñÿ÷è_cogs" xfId="2730"/>
    <cellStyle name="Output" xfId="2731"/>
    <cellStyle name="Output 10" xfId="2732"/>
    <cellStyle name="Output 11" xfId="2733"/>
    <cellStyle name="Output 12" xfId="2734"/>
    <cellStyle name="Output 13" xfId="2735"/>
    <cellStyle name="Output 14" xfId="2736"/>
    <cellStyle name="Output 15" xfId="2737"/>
    <cellStyle name="Output 16" xfId="2738"/>
    <cellStyle name="Output 17" xfId="2739"/>
    <cellStyle name="Output 18" xfId="2740"/>
    <cellStyle name="Output 19" xfId="2741"/>
    <cellStyle name="Output 2" xfId="2742"/>
    <cellStyle name="Output 2 2" xfId="2743"/>
    <cellStyle name="Output 2 2 2" xfId="2744"/>
    <cellStyle name="Output 2 2 3" xfId="2745"/>
    <cellStyle name="Output 2 2 4" xfId="2746"/>
    <cellStyle name="Output 2 3" xfId="2747"/>
    <cellStyle name="Output 2 4" xfId="2748"/>
    <cellStyle name="Output 2 5" xfId="2749"/>
    <cellStyle name="Output 20" xfId="2750"/>
    <cellStyle name="Output 21" xfId="2751"/>
    <cellStyle name="Output 22" xfId="2752"/>
    <cellStyle name="Output 23" xfId="2753"/>
    <cellStyle name="Output 24" xfId="2754"/>
    <cellStyle name="Output 25" xfId="2755"/>
    <cellStyle name="Output 26" xfId="2756"/>
    <cellStyle name="Output 27" xfId="2757"/>
    <cellStyle name="Output 28" xfId="2758"/>
    <cellStyle name="Output 29" xfId="2759"/>
    <cellStyle name="Output 3" xfId="2760"/>
    <cellStyle name="Output 3 2" xfId="2761"/>
    <cellStyle name="Output 3 2 2" xfId="2762"/>
    <cellStyle name="Output 3 2 3" xfId="2763"/>
    <cellStyle name="Output 3 2 4" xfId="2764"/>
    <cellStyle name="Output 3 3" xfId="2765"/>
    <cellStyle name="Output 3 4" xfId="2766"/>
    <cellStyle name="Output 3 5" xfId="2767"/>
    <cellStyle name="Output 30" xfId="2768"/>
    <cellStyle name="Output 31" xfId="2769"/>
    <cellStyle name="Output 32" xfId="2770"/>
    <cellStyle name="Output 33" xfId="2771"/>
    <cellStyle name="Output 34" xfId="2772"/>
    <cellStyle name="Output 35" xfId="2773"/>
    <cellStyle name="Output 36" xfId="2774"/>
    <cellStyle name="Output 37" xfId="2775"/>
    <cellStyle name="Output 38" xfId="2776"/>
    <cellStyle name="Output 39" xfId="2777"/>
    <cellStyle name="Output 4" xfId="2778"/>
    <cellStyle name="Output 4 2" xfId="2779"/>
    <cellStyle name="Output 4 2 2" xfId="2780"/>
    <cellStyle name="Output 4 2 3" xfId="2781"/>
    <cellStyle name="Output 4 2 4" xfId="2782"/>
    <cellStyle name="Output 4 3" xfId="2783"/>
    <cellStyle name="Output 4 4" xfId="2784"/>
    <cellStyle name="Output 4 5" xfId="2785"/>
    <cellStyle name="Output 40" xfId="2786"/>
    <cellStyle name="Output 41" xfId="2787"/>
    <cellStyle name="Output 42" xfId="2788"/>
    <cellStyle name="Output 43" xfId="2789"/>
    <cellStyle name="Output 44" xfId="2790"/>
    <cellStyle name="Output 5" xfId="2791"/>
    <cellStyle name="Output 5 2" xfId="2792"/>
    <cellStyle name="Output 5 2 2" xfId="2793"/>
    <cellStyle name="Output 5 2 3" xfId="2794"/>
    <cellStyle name="Output 5 2 4" xfId="2795"/>
    <cellStyle name="Output 5 3" xfId="2796"/>
    <cellStyle name="Output 5 4" xfId="2797"/>
    <cellStyle name="Output 5 5" xfId="2798"/>
    <cellStyle name="Output 6" xfId="2799"/>
    <cellStyle name="Output 6 2" xfId="2800"/>
    <cellStyle name="Output 6 3" xfId="2801"/>
    <cellStyle name="Output 6 4" xfId="2802"/>
    <cellStyle name="Output 7" xfId="2803"/>
    <cellStyle name="Output 8" xfId="2804"/>
    <cellStyle name="Output 9" xfId="2805"/>
    <cellStyle name="Paaotsikko" xfId="2806"/>
    <cellStyle name="Page Number" xfId="2807"/>
    <cellStyle name="pb_page_heading_LS" xfId="2808"/>
    <cellStyle name="Percent" xfId="2809"/>
    <cellStyle name="Percent 2" xfId="2810"/>
    <cellStyle name="Percent 2 2" xfId="2811"/>
    <cellStyle name="Percent 3" xfId="2812"/>
    <cellStyle name="Percent_RS_Lianozovo-Samara_9m01" xfId="2813"/>
    <cellStyle name="Percent1" xfId="2814"/>
    <cellStyle name="PillarData" xfId="2815"/>
    <cellStyle name="Piug" xfId="2816"/>
    <cellStyle name="Plug" xfId="2817"/>
    <cellStyle name="Price_Body" xfId="2818"/>
    <cellStyle name="prochrek" xfId="2819"/>
    <cellStyle name="prochrek 2" xfId="2820"/>
    <cellStyle name="prochrek 2 2" xfId="2821"/>
    <cellStyle name="prochrek 2 3" xfId="2822"/>
    <cellStyle name="prochrek 2 4" xfId="2823"/>
    <cellStyle name="prochrek 3" xfId="2824"/>
    <cellStyle name="prochrek 3 2" xfId="2825"/>
    <cellStyle name="prochrek 3 3" xfId="2826"/>
    <cellStyle name="prochrek 3 4" xfId="2827"/>
    <cellStyle name="prochrek 4" xfId="2828"/>
    <cellStyle name="prochrek 4 2" xfId="2829"/>
    <cellStyle name="prochrek 4 3" xfId="2830"/>
    <cellStyle name="prochrek 4 4" xfId="2831"/>
    <cellStyle name="prochrek 5" xfId="2832"/>
    <cellStyle name="prochrek 6" xfId="2833"/>
    <cellStyle name="prochrek 7" xfId="2834"/>
    <cellStyle name="protect" xfId="2835"/>
    <cellStyle name="protect 10" xfId="2836"/>
    <cellStyle name="protect 11" xfId="2837"/>
    <cellStyle name="protect 12" xfId="2838"/>
    <cellStyle name="protect 13" xfId="2839"/>
    <cellStyle name="protect 14" xfId="2840"/>
    <cellStyle name="protect 15" xfId="2841"/>
    <cellStyle name="protect 16" xfId="2842"/>
    <cellStyle name="protect 17" xfId="2843"/>
    <cellStyle name="protect 18" xfId="2844"/>
    <cellStyle name="protect 19" xfId="2845"/>
    <cellStyle name="protect 2" xfId="2846"/>
    <cellStyle name="protect 20" xfId="2847"/>
    <cellStyle name="protect 21" xfId="2848"/>
    <cellStyle name="protect 22" xfId="2849"/>
    <cellStyle name="protect 23" xfId="2850"/>
    <cellStyle name="protect 24" xfId="2851"/>
    <cellStyle name="protect 25" xfId="2852"/>
    <cellStyle name="protect 26" xfId="2853"/>
    <cellStyle name="protect 27" xfId="2854"/>
    <cellStyle name="protect 28" xfId="2855"/>
    <cellStyle name="protect 29" xfId="2856"/>
    <cellStyle name="protect 3" xfId="2857"/>
    <cellStyle name="protect 30" xfId="2858"/>
    <cellStyle name="protect 31" xfId="2859"/>
    <cellStyle name="protect 32" xfId="2860"/>
    <cellStyle name="protect 33" xfId="2861"/>
    <cellStyle name="protect 34" xfId="2862"/>
    <cellStyle name="protect 35" xfId="2863"/>
    <cellStyle name="protect 36" xfId="2864"/>
    <cellStyle name="protect 37" xfId="2865"/>
    <cellStyle name="protect 38" xfId="2866"/>
    <cellStyle name="protect 39" xfId="2867"/>
    <cellStyle name="protect 4" xfId="2868"/>
    <cellStyle name="protect 40" xfId="2869"/>
    <cellStyle name="protect 41" xfId="2870"/>
    <cellStyle name="protect 42" xfId="2871"/>
    <cellStyle name="protect 43" xfId="2872"/>
    <cellStyle name="protect 44" xfId="2873"/>
    <cellStyle name="protect 5" xfId="2874"/>
    <cellStyle name="protect 6" xfId="2875"/>
    <cellStyle name="protect 7" xfId="2876"/>
    <cellStyle name="protect 8" xfId="2877"/>
    <cellStyle name="protect 9" xfId="2878"/>
    <cellStyle name="Protected" xfId="2879"/>
    <cellStyle name="Protected 10" xfId="2880"/>
    <cellStyle name="Protected 2" xfId="2881"/>
    <cellStyle name="Protected 2 2" xfId="2882"/>
    <cellStyle name="Protected 2 2 2" xfId="2883"/>
    <cellStyle name="Protected 2 2 3" xfId="2884"/>
    <cellStyle name="Protected 2 2 4" xfId="2885"/>
    <cellStyle name="Protected 2 3" xfId="2886"/>
    <cellStyle name="Protected 2 3 2" xfId="2887"/>
    <cellStyle name="Protected 2 3 3" xfId="2888"/>
    <cellStyle name="Protected 2 3 4" xfId="2889"/>
    <cellStyle name="Protected 2 4" xfId="2890"/>
    <cellStyle name="Protected 2 4 2" xfId="2891"/>
    <cellStyle name="Protected 2 4 3" xfId="2892"/>
    <cellStyle name="Protected 2 4 4" xfId="2893"/>
    <cellStyle name="Protected 2 5" xfId="2894"/>
    <cellStyle name="Protected 2 6" xfId="2895"/>
    <cellStyle name="Protected 2 7" xfId="2896"/>
    <cellStyle name="Protected 3" xfId="2897"/>
    <cellStyle name="Protected 3 2" xfId="2898"/>
    <cellStyle name="Protected 3 2 2" xfId="2899"/>
    <cellStyle name="Protected 3 2 3" xfId="2900"/>
    <cellStyle name="Protected 3 2 4" xfId="2901"/>
    <cellStyle name="Protected 3 3" xfId="2902"/>
    <cellStyle name="Protected 3 3 2" xfId="2903"/>
    <cellStyle name="Protected 3 3 3" xfId="2904"/>
    <cellStyle name="Protected 3 3 4" xfId="2905"/>
    <cellStyle name="Protected 3 4" xfId="2906"/>
    <cellStyle name="Protected 3 4 2" xfId="2907"/>
    <cellStyle name="Protected 3 4 3" xfId="2908"/>
    <cellStyle name="Protected 3 4 4" xfId="2909"/>
    <cellStyle name="Protected 3 5" xfId="2910"/>
    <cellStyle name="Protected 3 6" xfId="2911"/>
    <cellStyle name="Protected 3 7" xfId="2912"/>
    <cellStyle name="Protected 4" xfId="2913"/>
    <cellStyle name="Protected 4 2" xfId="2914"/>
    <cellStyle name="Protected 4 2 2" xfId="2915"/>
    <cellStyle name="Protected 4 2 3" xfId="2916"/>
    <cellStyle name="Protected 4 2 4" xfId="2917"/>
    <cellStyle name="Protected 4 3" xfId="2918"/>
    <cellStyle name="Protected 4 3 2" xfId="2919"/>
    <cellStyle name="Protected 4 3 3" xfId="2920"/>
    <cellStyle name="Protected 4 3 4" xfId="2921"/>
    <cellStyle name="Protected 4 4" xfId="2922"/>
    <cellStyle name="Protected 4 4 2" xfId="2923"/>
    <cellStyle name="Protected 4 4 3" xfId="2924"/>
    <cellStyle name="Protected 4 4 4" xfId="2925"/>
    <cellStyle name="Protected 4 5" xfId="2926"/>
    <cellStyle name="Protected 4 6" xfId="2927"/>
    <cellStyle name="Protected 4 7" xfId="2928"/>
    <cellStyle name="Protected 5" xfId="2929"/>
    <cellStyle name="Protected 5 2" xfId="2930"/>
    <cellStyle name="Protected 5 3" xfId="2931"/>
    <cellStyle name="Protected 5 4" xfId="2932"/>
    <cellStyle name="Protected 6" xfId="2933"/>
    <cellStyle name="Protected 6 2" xfId="2934"/>
    <cellStyle name="Protected 6 3" xfId="2935"/>
    <cellStyle name="Protected 6 4" xfId="2936"/>
    <cellStyle name="Protected 7" xfId="2937"/>
    <cellStyle name="Protected 7 2" xfId="2938"/>
    <cellStyle name="Protected 7 3" xfId="2939"/>
    <cellStyle name="Protected 7 4" xfId="2940"/>
    <cellStyle name="Protected 8" xfId="2941"/>
    <cellStyle name="Protected 9" xfId="2942"/>
    <cellStyle name="Pддotsikko" xfId="2943"/>
    <cellStyle name="QTitle" xfId="2944"/>
    <cellStyle name="QTitle 2" xfId="2945"/>
    <cellStyle name="QTitle 3" xfId="2946"/>
    <cellStyle name="range" xfId="2947"/>
    <cellStyle name="Salomon Logo" xfId="2948"/>
    <cellStyle name="Salomon Logo 2" xfId="2949"/>
    <cellStyle name="Salomon Logo 3" xfId="2950"/>
    <cellStyle name="Salomon Logo 4" xfId="2951"/>
    <cellStyle name="Salomon Logo 5" xfId="2952"/>
    <cellStyle name="Salomon Logo 6" xfId="2953"/>
    <cellStyle name="SAPBEXaggData" xfId="2954"/>
    <cellStyle name="SAPBEXaggData 10" xfId="2955"/>
    <cellStyle name="SAPBEXaggData 11" xfId="2956"/>
    <cellStyle name="SAPBEXaggData 12" xfId="2957"/>
    <cellStyle name="SAPBEXaggData 13" xfId="2958"/>
    <cellStyle name="SAPBEXaggData 14" xfId="2959"/>
    <cellStyle name="SAPBEXaggData 15" xfId="2960"/>
    <cellStyle name="SAPBEXaggData 16" xfId="2961"/>
    <cellStyle name="SAPBEXaggData 17" xfId="2962"/>
    <cellStyle name="SAPBEXaggData 18" xfId="2963"/>
    <cellStyle name="SAPBEXaggData 19" xfId="2964"/>
    <cellStyle name="SAPBEXaggData 2" xfId="2965"/>
    <cellStyle name="SAPBEXaggData 2 2" xfId="2966"/>
    <cellStyle name="SAPBEXaggData 2 2 2" xfId="2967"/>
    <cellStyle name="SAPBEXaggData 2 2 3" xfId="2968"/>
    <cellStyle name="SAPBEXaggData 2 2 4" xfId="2969"/>
    <cellStyle name="SAPBEXaggData 2 3" xfId="2970"/>
    <cellStyle name="SAPBEXaggData 2 4" xfId="2971"/>
    <cellStyle name="SAPBEXaggData 2 5" xfId="2972"/>
    <cellStyle name="SAPBEXaggData 20" xfId="2973"/>
    <cellStyle name="SAPBEXaggData 21" xfId="2974"/>
    <cellStyle name="SAPBEXaggData 22" xfId="2975"/>
    <cellStyle name="SAPBEXaggData 23" xfId="2976"/>
    <cellStyle name="SAPBEXaggData 24" xfId="2977"/>
    <cellStyle name="SAPBEXaggData 25" xfId="2978"/>
    <cellStyle name="SAPBEXaggData 26" xfId="2979"/>
    <cellStyle name="SAPBEXaggData 27" xfId="2980"/>
    <cellStyle name="SAPBEXaggData 28" xfId="2981"/>
    <cellStyle name="SAPBEXaggData 29" xfId="2982"/>
    <cellStyle name="SAPBEXaggData 3" xfId="2983"/>
    <cellStyle name="SAPBEXaggData 3 2" xfId="2984"/>
    <cellStyle name="SAPBEXaggData 3 2 2" xfId="2985"/>
    <cellStyle name="SAPBEXaggData 3 2 3" xfId="2986"/>
    <cellStyle name="SAPBEXaggData 3 2 4" xfId="2987"/>
    <cellStyle name="SAPBEXaggData 3 3" xfId="2988"/>
    <cellStyle name="SAPBEXaggData 3 4" xfId="2989"/>
    <cellStyle name="SAPBEXaggData 3 5" xfId="2990"/>
    <cellStyle name="SAPBEXaggData 30" xfId="2991"/>
    <cellStyle name="SAPBEXaggData 31" xfId="2992"/>
    <cellStyle name="SAPBEXaggData 32" xfId="2993"/>
    <cellStyle name="SAPBEXaggData 33" xfId="2994"/>
    <cellStyle name="SAPBEXaggData 34" xfId="2995"/>
    <cellStyle name="SAPBEXaggData 35" xfId="2996"/>
    <cellStyle name="SAPBEXaggData 36" xfId="2997"/>
    <cellStyle name="SAPBEXaggData 37" xfId="2998"/>
    <cellStyle name="SAPBEXaggData 38" xfId="2999"/>
    <cellStyle name="SAPBEXaggData 39" xfId="3000"/>
    <cellStyle name="SAPBEXaggData 4" xfId="3001"/>
    <cellStyle name="SAPBEXaggData 4 2" xfId="3002"/>
    <cellStyle name="SAPBEXaggData 4 2 2" xfId="3003"/>
    <cellStyle name="SAPBEXaggData 4 2 3" xfId="3004"/>
    <cellStyle name="SAPBEXaggData 4 2 4" xfId="3005"/>
    <cellStyle name="SAPBEXaggData 4 3" xfId="3006"/>
    <cellStyle name="SAPBEXaggData 4 4" xfId="3007"/>
    <cellStyle name="SAPBEXaggData 4 5" xfId="3008"/>
    <cellStyle name="SAPBEXaggData 40" xfId="3009"/>
    <cellStyle name="SAPBEXaggData 41" xfId="3010"/>
    <cellStyle name="SAPBEXaggData 42" xfId="3011"/>
    <cellStyle name="SAPBEXaggData 43" xfId="3012"/>
    <cellStyle name="SAPBEXaggData 44" xfId="3013"/>
    <cellStyle name="SAPBEXaggData 5" xfId="3014"/>
    <cellStyle name="SAPBEXaggData 5 2" xfId="3015"/>
    <cellStyle name="SAPBEXaggData 5 2 2" xfId="3016"/>
    <cellStyle name="SAPBEXaggData 5 2 3" xfId="3017"/>
    <cellStyle name="SAPBEXaggData 5 2 4" xfId="3018"/>
    <cellStyle name="SAPBEXaggData 5 3" xfId="3019"/>
    <cellStyle name="SAPBEXaggData 5 4" xfId="3020"/>
    <cellStyle name="SAPBEXaggData 5 5" xfId="3021"/>
    <cellStyle name="SAPBEXaggData 6" xfId="3022"/>
    <cellStyle name="SAPBEXaggData 6 2" xfId="3023"/>
    <cellStyle name="SAPBEXaggData 6 3" xfId="3024"/>
    <cellStyle name="SAPBEXaggData 6 4" xfId="3025"/>
    <cellStyle name="SAPBEXaggData 7" xfId="3026"/>
    <cellStyle name="SAPBEXaggData 8" xfId="3027"/>
    <cellStyle name="SAPBEXaggData 9" xfId="3028"/>
    <cellStyle name="SAPBEXaggDataEmph" xfId="3029"/>
    <cellStyle name="SAPBEXaggDataEmph 10" xfId="3030"/>
    <cellStyle name="SAPBEXaggDataEmph 11" xfId="3031"/>
    <cellStyle name="SAPBEXaggDataEmph 12" xfId="3032"/>
    <cellStyle name="SAPBEXaggDataEmph 13" xfId="3033"/>
    <cellStyle name="SAPBEXaggDataEmph 14" xfId="3034"/>
    <cellStyle name="SAPBEXaggDataEmph 15" xfId="3035"/>
    <cellStyle name="SAPBEXaggDataEmph 16" xfId="3036"/>
    <cellStyle name="SAPBEXaggDataEmph 17" xfId="3037"/>
    <cellStyle name="SAPBEXaggDataEmph 18" xfId="3038"/>
    <cellStyle name="SAPBEXaggDataEmph 19" xfId="3039"/>
    <cellStyle name="SAPBEXaggDataEmph 2" xfId="3040"/>
    <cellStyle name="SAPBEXaggDataEmph 2 2" xfId="3041"/>
    <cellStyle name="SAPBEXaggDataEmph 2 2 2" xfId="3042"/>
    <cellStyle name="SAPBEXaggDataEmph 2 2 3" xfId="3043"/>
    <cellStyle name="SAPBEXaggDataEmph 2 2 4" xfId="3044"/>
    <cellStyle name="SAPBEXaggDataEmph 2 3" xfId="3045"/>
    <cellStyle name="SAPBEXaggDataEmph 2 4" xfId="3046"/>
    <cellStyle name="SAPBEXaggDataEmph 2 5" xfId="3047"/>
    <cellStyle name="SAPBEXaggDataEmph 20" xfId="3048"/>
    <cellStyle name="SAPBEXaggDataEmph 21" xfId="3049"/>
    <cellStyle name="SAPBEXaggDataEmph 22" xfId="3050"/>
    <cellStyle name="SAPBEXaggDataEmph 23" xfId="3051"/>
    <cellStyle name="SAPBEXaggDataEmph 24" xfId="3052"/>
    <cellStyle name="SAPBEXaggDataEmph 25" xfId="3053"/>
    <cellStyle name="SAPBEXaggDataEmph 26" xfId="3054"/>
    <cellStyle name="SAPBEXaggDataEmph 27" xfId="3055"/>
    <cellStyle name="SAPBEXaggDataEmph 28" xfId="3056"/>
    <cellStyle name="SAPBEXaggDataEmph 29" xfId="3057"/>
    <cellStyle name="SAPBEXaggDataEmph 3" xfId="3058"/>
    <cellStyle name="SAPBEXaggDataEmph 3 2" xfId="3059"/>
    <cellStyle name="SAPBEXaggDataEmph 3 2 2" xfId="3060"/>
    <cellStyle name="SAPBEXaggDataEmph 3 2 3" xfId="3061"/>
    <cellStyle name="SAPBEXaggDataEmph 3 2 4" xfId="3062"/>
    <cellStyle name="SAPBEXaggDataEmph 3 3" xfId="3063"/>
    <cellStyle name="SAPBEXaggDataEmph 3 4" xfId="3064"/>
    <cellStyle name="SAPBEXaggDataEmph 3 5" xfId="3065"/>
    <cellStyle name="SAPBEXaggDataEmph 30" xfId="3066"/>
    <cellStyle name="SAPBEXaggDataEmph 31" xfId="3067"/>
    <cellStyle name="SAPBEXaggDataEmph 32" xfId="3068"/>
    <cellStyle name="SAPBEXaggDataEmph 33" xfId="3069"/>
    <cellStyle name="SAPBEXaggDataEmph 34" xfId="3070"/>
    <cellStyle name="SAPBEXaggDataEmph 35" xfId="3071"/>
    <cellStyle name="SAPBEXaggDataEmph 36" xfId="3072"/>
    <cellStyle name="SAPBEXaggDataEmph 37" xfId="3073"/>
    <cellStyle name="SAPBEXaggDataEmph 38" xfId="3074"/>
    <cellStyle name="SAPBEXaggDataEmph 39" xfId="3075"/>
    <cellStyle name="SAPBEXaggDataEmph 4" xfId="3076"/>
    <cellStyle name="SAPBEXaggDataEmph 4 2" xfId="3077"/>
    <cellStyle name="SAPBEXaggDataEmph 4 2 2" xfId="3078"/>
    <cellStyle name="SAPBEXaggDataEmph 4 2 3" xfId="3079"/>
    <cellStyle name="SAPBEXaggDataEmph 4 2 4" xfId="3080"/>
    <cellStyle name="SAPBEXaggDataEmph 4 3" xfId="3081"/>
    <cellStyle name="SAPBEXaggDataEmph 4 4" xfId="3082"/>
    <cellStyle name="SAPBEXaggDataEmph 4 5" xfId="3083"/>
    <cellStyle name="SAPBEXaggDataEmph 40" xfId="3084"/>
    <cellStyle name="SAPBEXaggDataEmph 41" xfId="3085"/>
    <cellStyle name="SAPBEXaggDataEmph 42" xfId="3086"/>
    <cellStyle name="SAPBEXaggDataEmph 43" xfId="3087"/>
    <cellStyle name="SAPBEXaggDataEmph 44" xfId="3088"/>
    <cellStyle name="SAPBEXaggDataEmph 5" xfId="3089"/>
    <cellStyle name="SAPBEXaggDataEmph 5 2" xfId="3090"/>
    <cellStyle name="SAPBEXaggDataEmph 5 2 2" xfId="3091"/>
    <cellStyle name="SAPBEXaggDataEmph 5 2 3" xfId="3092"/>
    <cellStyle name="SAPBEXaggDataEmph 5 2 4" xfId="3093"/>
    <cellStyle name="SAPBEXaggDataEmph 5 3" xfId="3094"/>
    <cellStyle name="SAPBEXaggDataEmph 5 4" xfId="3095"/>
    <cellStyle name="SAPBEXaggDataEmph 5 5" xfId="3096"/>
    <cellStyle name="SAPBEXaggDataEmph 6" xfId="3097"/>
    <cellStyle name="SAPBEXaggDataEmph 6 2" xfId="3098"/>
    <cellStyle name="SAPBEXaggDataEmph 6 3" xfId="3099"/>
    <cellStyle name="SAPBEXaggDataEmph 6 4" xfId="3100"/>
    <cellStyle name="SAPBEXaggDataEmph 7" xfId="3101"/>
    <cellStyle name="SAPBEXaggDataEmph 8" xfId="3102"/>
    <cellStyle name="SAPBEXaggDataEmph 9" xfId="3103"/>
    <cellStyle name="SAPBEXaggItem" xfId="3104"/>
    <cellStyle name="SAPBEXaggItem 10" xfId="3105"/>
    <cellStyle name="SAPBEXaggItem 11" xfId="3106"/>
    <cellStyle name="SAPBEXaggItem 12" xfId="3107"/>
    <cellStyle name="SAPBEXaggItem 13" xfId="3108"/>
    <cellStyle name="SAPBEXaggItem 14" xfId="3109"/>
    <cellStyle name="SAPBEXaggItem 15" xfId="3110"/>
    <cellStyle name="SAPBEXaggItem 16" xfId="3111"/>
    <cellStyle name="SAPBEXaggItem 17" xfId="3112"/>
    <cellStyle name="SAPBEXaggItem 18" xfId="3113"/>
    <cellStyle name="SAPBEXaggItem 19" xfId="3114"/>
    <cellStyle name="SAPBEXaggItem 2" xfId="3115"/>
    <cellStyle name="SAPBEXaggItem 2 2" xfId="3116"/>
    <cellStyle name="SAPBEXaggItem 2 2 2" xfId="3117"/>
    <cellStyle name="SAPBEXaggItem 2 2 3" xfId="3118"/>
    <cellStyle name="SAPBEXaggItem 2 2 4" xfId="3119"/>
    <cellStyle name="SAPBEXaggItem 2 3" xfId="3120"/>
    <cellStyle name="SAPBEXaggItem 2 4" xfId="3121"/>
    <cellStyle name="SAPBEXaggItem 2 5" xfId="3122"/>
    <cellStyle name="SAPBEXaggItem 20" xfId="3123"/>
    <cellStyle name="SAPBEXaggItem 21" xfId="3124"/>
    <cellStyle name="SAPBEXaggItem 22" xfId="3125"/>
    <cellStyle name="SAPBEXaggItem 23" xfId="3126"/>
    <cellStyle name="SAPBEXaggItem 24" xfId="3127"/>
    <cellStyle name="SAPBEXaggItem 25" xfId="3128"/>
    <cellStyle name="SAPBEXaggItem 26" xfId="3129"/>
    <cellStyle name="SAPBEXaggItem 27" xfId="3130"/>
    <cellStyle name="SAPBEXaggItem 28" xfId="3131"/>
    <cellStyle name="SAPBEXaggItem 29" xfId="3132"/>
    <cellStyle name="SAPBEXaggItem 3" xfId="3133"/>
    <cellStyle name="SAPBEXaggItem 3 2" xfId="3134"/>
    <cellStyle name="SAPBEXaggItem 3 2 2" xfId="3135"/>
    <cellStyle name="SAPBEXaggItem 3 2 3" xfId="3136"/>
    <cellStyle name="SAPBEXaggItem 3 2 4" xfId="3137"/>
    <cellStyle name="SAPBEXaggItem 3 3" xfId="3138"/>
    <cellStyle name="SAPBEXaggItem 3 4" xfId="3139"/>
    <cellStyle name="SAPBEXaggItem 3 5" xfId="3140"/>
    <cellStyle name="SAPBEXaggItem 30" xfId="3141"/>
    <cellStyle name="SAPBEXaggItem 31" xfId="3142"/>
    <cellStyle name="SAPBEXaggItem 32" xfId="3143"/>
    <cellStyle name="SAPBEXaggItem 33" xfId="3144"/>
    <cellStyle name="SAPBEXaggItem 34" xfId="3145"/>
    <cellStyle name="SAPBEXaggItem 35" xfId="3146"/>
    <cellStyle name="SAPBEXaggItem 36" xfId="3147"/>
    <cellStyle name="SAPBEXaggItem 37" xfId="3148"/>
    <cellStyle name="SAPBEXaggItem 38" xfId="3149"/>
    <cellStyle name="SAPBEXaggItem 39" xfId="3150"/>
    <cellStyle name="SAPBEXaggItem 4" xfId="3151"/>
    <cellStyle name="SAPBEXaggItem 4 2" xfId="3152"/>
    <cellStyle name="SAPBEXaggItem 4 2 2" xfId="3153"/>
    <cellStyle name="SAPBEXaggItem 4 2 3" xfId="3154"/>
    <cellStyle name="SAPBEXaggItem 4 2 4" xfId="3155"/>
    <cellStyle name="SAPBEXaggItem 4 3" xfId="3156"/>
    <cellStyle name="SAPBEXaggItem 4 4" xfId="3157"/>
    <cellStyle name="SAPBEXaggItem 4 5" xfId="3158"/>
    <cellStyle name="SAPBEXaggItem 40" xfId="3159"/>
    <cellStyle name="SAPBEXaggItem 41" xfId="3160"/>
    <cellStyle name="SAPBEXaggItem 42" xfId="3161"/>
    <cellStyle name="SAPBEXaggItem 43" xfId="3162"/>
    <cellStyle name="SAPBEXaggItem 44" xfId="3163"/>
    <cellStyle name="SAPBEXaggItem 5" xfId="3164"/>
    <cellStyle name="SAPBEXaggItem 5 2" xfId="3165"/>
    <cellStyle name="SAPBEXaggItem 5 2 2" xfId="3166"/>
    <cellStyle name="SAPBEXaggItem 5 2 3" xfId="3167"/>
    <cellStyle name="SAPBEXaggItem 5 2 4" xfId="3168"/>
    <cellStyle name="SAPBEXaggItem 5 3" xfId="3169"/>
    <cellStyle name="SAPBEXaggItem 5 4" xfId="3170"/>
    <cellStyle name="SAPBEXaggItem 5 5" xfId="3171"/>
    <cellStyle name="SAPBEXaggItem 6" xfId="3172"/>
    <cellStyle name="SAPBEXaggItem 6 2" xfId="3173"/>
    <cellStyle name="SAPBEXaggItem 6 3" xfId="3174"/>
    <cellStyle name="SAPBEXaggItem 6 4" xfId="3175"/>
    <cellStyle name="SAPBEXaggItem 7" xfId="3176"/>
    <cellStyle name="SAPBEXaggItem 8" xfId="3177"/>
    <cellStyle name="SAPBEXaggItem 9" xfId="3178"/>
    <cellStyle name="SAPBEXaggItemX" xfId="3179"/>
    <cellStyle name="SAPBEXaggItemX 10" xfId="3180"/>
    <cellStyle name="SAPBEXaggItemX 11" xfId="3181"/>
    <cellStyle name="SAPBEXaggItemX 12" xfId="3182"/>
    <cellStyle name="SAPBEXaggItemX 13" xfId="3183"/>
    <cellStyle name="SAPBEXaggItemX 14" xfId="3184"/>
    <cellStyle name="SAPBEXaggItemX 15" xfId="3185"/>
    <cellStyle name="SAPBEXaggItemX 16" xfId="3186"/>
    <cellStyle name="SAPBEXaggItemX 17" xfId="3187"/>
    <cellStyle name="SAPBEXaggItemX 18" xfId="3188"/>
    <cellStyle name="SAPBEXaggItemX 19" xfId="3189"/>
    <cellStyle name="SAPBEXaggItemX 2" xfId="3190"/>
    <cellStyle name="SAPBEXaggItemX 2 2" xfId="3191"/>
    <cellStyle name="SAPBEXaggItemX 2 2 2" xfId="3192"/>
    <cellStyle name="SAPBEXaggItemX 2 2 3" xfId="3193"/>
    <cellStyle name="SAPBEXaggItemX 2 2 4" xfId="3194"/>
    <cellStyle name="SAPBEXaggItemX 2 3" xfId="3195"/>
    <cellStyle name="SAPBEXaggItemX 2 4" xfId="3196"/>
    <cellStyle name="SAPBEXaggItemX 2 5" xfId="3197"/>
    <cellStyle name="SAPBEXaggItemX 20" xfId="3198"/>
    <cellStyle name="SAPBEXaggItemX 21" xfId="3199"/>
    <cellStyle name="SAPBEXaggItemX 22" xfId="3200"/>
    <cellStyle name="SAPBEXaggItemX 23" xfId="3201"/>
    <cellStyle name="SAPBEXaggItemX 24" xfId="3202"/>
    <cellStyle name="SAPBEXaggItemX 25" xfId="3203"/>
    <cellStyle name="SAPBEXaggItemX 26" xfId="3204"/>
    <cellStyle name="SAPBEXaggItemX 27" xfId="3205"/>
    <cellStyle name="SAPBEXaggItemX 28" xfId="3206"/>
    <cellStyle name="SAPBEXaggItemX 29" xfId="3207"/>
    <cellStyle name="SAPBEXaggItemX 3" xfId="3208"/>
    <cellStyle name="SAPBEXaggItemX 3 2" xfId="3209"/>
    <cellStyle name="SAPBEXaggItemX 3 2 2" xfId="3210"/>
    <cellStyle name="SAPBEXaggItemX 3 2 3" xfId="3211"/>
    <cellStyle name="SAPBEXaggItemX 3 2 4" xfId="3212"/>
    <cellStyle name="SAPBEXaggItemX 3 3" xfId="3213"/>
    <cellStyle name="SAPBEXaggItemX 3 4" xfId="3214"/>
    <cellStyle name="SAPBEXaggItemX 3 5" xfId="3215"/>
    <cellStyle name="SAPBEXaggItemX 30" xfId="3216"/>
    <cellStyle name="SAPBEXaggItemX 31" xfId="3217"/>
    <cellStyle name="SAPBEXaggItemX 32" xfId="3218"/>
    <cellStyle name="SAPBEXaggItemX 33" xfId="3219"/>
    <cellStyle name="SAPBEXaggItemX 34" xfId="3220"/>
    <cellStyle name="SAPBEXaggItemX 35" xfId="3221"/>
    <cellStyle name="SAPBEXaggItemX 36" xfId="3222"/>
    <cellStyle name="SAPBEXaggItemX 37" xfId="3223"/>
    <cellStyle name="SAPBEXaggItemX 38" xfId="3224"/>
    <cellStyle name="SAPBEXaggItemX 39" xfId="3225"/>
    <cellStyle name="SAPBEXaggItemX 4" xfId="3226"/>
    <cellStyle name="SAPBEXaggItemX 4 2" xfId="3227"/>
    <cellStyle name="SAPBEXaggItemX 4 2 2" xfId="3228"/>
    <cellStyle name="SAPBEXaggItemX 4 2 3" xfId="3229"/>
    <cellStyle name="SAPBEXaggItemX 4 2 4" xfId="3230"/>
    <cellStyle name="SAPBEXaggItemX 4 3" xfId="3231"/>
    <cellStyle name="SAPBEXaggItemX 4 4" xfId="3232"/>
    <cellStyle name="SAPBEXaggItemX 4 5" xfId="3233"/>
    <cellStyle name="SAPBEXaggItemX 40" xfId="3234"/>
    <cellStyle name="SAPBEXaggItemX 41" xfId="3235"/>
    <cellStyle name="SAPBEXaggItemX 42" xfId="3236"/>
    <cellStyle name="SAPBEXaggItemX 43" xfId="3237"/>
    <cellStyle name="SAPBEXaggItemX 44" xfId="3238"/>
    <cellStyle name="SAPBEXaggItemX 5" xfId="3239"/>
    <cellStyle name="SAPBEXaggItemX 5 2" xfId="3240"/>
    <cellStyle name="SAPBEXaggItemX 5 2 2" xfId="3241"/>
    <cellStyle name="SAPBEXaggItemX 5 2 3" xfId="3242"/>
    <cellStyle name="SAPBEXaggItemX 5 2 4" xfId="3243"/>
    <cellStyle name="SAPBEXaggItemX 5 3" xfId="3244"/>
    <cellStyle name="SAPBEXaggItemX 5 4" xfId="3245"/>
    <cellStyle name="SAPBEXaggItemX 5 5" xfId="3246"/>
    <cellStyle name="SAPBEXaggItemX 6" xfId="3247"/>
    <cellStyle name="SAPBEXaggItemX 6 2" xfId="3248"/>
    <cellStyle name="SAPBEXaggItemX 6 3" xfId="3249"/>
    <cellStyle name="SAPBEXaggItemX 6 4" xfId="3250"/>
    <cellStyle name="SAPBEXaggItemX 7" xfId="3251"/>
    <cellStyle name="SAPBEXaggItemX 8" xfId="3252"/>
    <cellStyle name="SAPBEXaggItemX 9" xfId="3253"/>
    <cellStyle name="SAPBEXchaText" xfId="3254"/>
    <cellStyle name="SAPBEXchaText 2" xfId="3255"/>
    <cellStyle name="SAPBEXchaText 2 2" xfId="3256"/>
    <cellStyle name="SAPBEXchaText 2 2 2" xfId="3257"/>
    <cellStyle name="SAPBEXchaText 2 2 3" xfId="3258"/>
    <cellStyle name="SAPBEXchaText 2 2 4" xfId="3259"/>
    <cellStyle name="SAPBEXchaText 2 3" xfId="3260"/>
    <cellStyle name="SAPBEXchaText 2 4" xfId="3261"/>
    <cellStyle name="SAPBEXchaText 2 5" xfId="3262"/>
    <cellStyle name="SAPBEXchaText 3" xfId="3263"/>
    <cellStyle name="SAPBEXchaText 3 2" xfId="3264"/>
    <cellStyle name="SAPBEXchaText 3 2 2" xfId="3265"/>
    <cellStyle name="SAPBEXchaText 3 2 3" xfId="3266"/>
    <cellStyle name="SAPBEXchaText 3 2 4" xfId="3267"/>
    <cellStyle name="SAPBEXchaText 3 3" xfId="3268"/>
    <cellStyle name="SAPBEXchaText 3 4" xfId="3269"/>
    <cellStyle name="SAPBEXchaText 3 5" xfId="3270"/>
    <cellStyle name="SAPBEXchaText 4" xfId="3271"/>
    <cellStyle name="SAPBEXchaText 4 2" xfId="3272"/>
    <cellStyle name="SAPBEXchaText 4 2 2" xfId="3273"/>
    <cellStyle name="SAPBEXchaText 4 2 3" xfId="3274"/>
    <cellStyle name="SAPBEXchaText 4 2 4" xfId="3275"/>
    <cellStyle name="SAPBEXchaText 4 3" xfId="3276"/>
    <cellStyle name="SAPBEXchaText 4 4" xfId="3277"/>
    <cellStyle name="SAPBEXchaText 4 5" xfId="3278"/>
    <cellStyle name="SAPBEXchaText 5" xfId="3279"/>
    <cellStyle name="SAPBEXchaText 5 2" xfId="3280"/>
    <cellStyle name="SAPBEXchaText 5 2 2" xfId="3281"/>
    <cellStyle name="SAPBEXchaText 5 2 3" xfId="3282"/>
    <cellStyle name="SAPBEXchaText 5 2 4" xfId="3283"/>
    <cellStyle name="SAPBEXchaText 5 3" xfId="3284"/>
    <cellStyle name="SAPBEXchaText 5 4" xfId="3285"/>
    <cellStyle name="SAPBEXchaText 5 5" xfId="3286"/>
    <cellStyle name="SAPBEXchaText 6" xfId="3287"/>
    <cellStyle name="SAPBEXchaText 6 2" xfId="3288"/>
    <cellStyle name="SAPBEXchaText 6 3" xfId="3289"/>
    <cellStyle name="SAPBEXchaText 6 4" xfId="3290"/>
    <cellStyle name="SAPBEXchaText 7" xfId="3291"/>
    <cellStyle name="SAPBEXchaText 8" xfId="3292"/>
    <cellStyle name="SAPBEXchaText 9" xfId="3293"/>
    <cellStyle name="SAPBEXexcBad7" xfId="3294"/>
    <cellStyle name="SAPBEXexcBad7 10" xfId="3295"/>
    <cellStyle name="SAPBEXexcBad7 11" xfId="3296"/>
    <cellStyle name="SAPBEXexcBad7 12" xfId="3297"/>
    <cellStyle name="SAPBEXexcBad7 13" xfId="3298"/>
    <cellStyle name="SAPBEXexcBad7 14" xfId="3299"/>
    <cellStyle name="SAPBEXexcBad7 15" xfId="3300"/>
    <cellStyle name="SAPBEXexcBad7 16" xfId="3301"/>
    <cellStyle name="SAPBEXexcBad7 17" xfId="3302"/>
    <cellStyle name="SAPBEXexcBad7 18" xfId="3303"/>
    <cellStyle name="SAPBEXexcBad7 19" xfId="3304"/>
    <cellStyle name="SAPBEXexcBad7 2" xfId="3305"/>
    <cellStyle name="SAPBEXexcBad7 2 2" xfId="3306"/>
    <cellStyle name="SAPBEXexcBad7 2 2 2" xfId="3307"/>
    <cellStyle name="SAPBEXexcBad7 2 2 3" xfId="3308"/>
    <cellStyle name="SAPBEXexcBad7 2 2 4" xfId="3309"/>
    <cellStyle name="SAPBEXexcBad7 2 3" xfId="3310"/>
    <cellStyle name="SAPBEXexcBad7 2 4" xfId="3311"/>
    <cellStyle name="SAPBEXexcBad7 2 5" xfId="3312"/>
    <cellStyle name="SAPBEXexcBad7 20" xfId="3313"/>
    <cellStyle name="SAPBEXexcBad7 21" xfId="3314"/>
    <cellStyle name="SAPBEXexcBad7 22" xfId="3315"/>
    <cellStyle name="SAPBEXexcBad7 23" xfId="3316"/>
    <cellStyle name="SAPBEXexcBad7 24" xfId="3317"/>
    <cellStyle name="SAPBEXexcBad7 25" xfId="3318"/>
    <cellStyle name="SAPBEXexcBad7 26" xfId="3319"/>
    <cellStyle name="SAPBEXexcBad7 27" xfId="3320"/>
    <cellStyle name="SAPBEXexcBad7 28" xfId="3321"/>
    <cellStyle name="SAPBEXexcBad7 29" xfId="3322"/>
    <cellStyle name="SAPBEXexcBad7 3" xfId="3323"/>
    <cellStyle name="SAPBEXexcBad7 3 2" xfId="3324"/>
    <cellStyle name="SAPBEXexcBad7 3 2 2" xfId="3325"/>
    <cellStyle name="SAPBEXexcBad7 3 2 3" xfId="3326"/>
    <cellStyle name="SAPBEXexcBad7 3 2 4" xfId="3327"/>
    <cellStyle name="SAPBEXexcBad7 3 3" xfId="3328"/>
    <cellStyle name="SAPBEXexcBad7 3 4" xfId="3329"/>
    <cellStyle name="SAPBEXexcBad7 3 5" xfId="3330"/>
    <cellStyle name="SAPBEXexcBad7 30" xfId="3331"/>
    <cellStyle name="SAPBEXexcBad7 31" xfId="3332"/>
    <cellStyle name="SAPBEXexcBad7 32" xfId="3333"/>
    <cellStyle name="SAPBEXexcBad7 33" xfId="3334"/>
    <cellStyle name="SAPBEXexcBad7 34" xfId="3335"/>
    <cellStyle name="SAPBEXexcBad7 35" xfId="3336"/>
    <cellStyle name="SAPBEXexcBad7 36" xfId="3337"/>
    <cellStyle name="SAPBEXexcBad7 37" xfId="3338"/>
    <cellStyle name="SAPBEXexcBad7 38" xfId="3339"/>
    <cellStyle name="SAPBEXexcBad7 39" xfId="3340"/>
    <cellStyle name="SAPBEXexcBad7 4" xfId="3341"/>
    <cellStyle name="SAPBEXexcBad7 4 2" xfId="3342"/>
    <cellStyle name="SAPBEXexcBad7 4 2 2" xfId="3343"/>
    <cellStyle name="SAPBEXexcBad7 4 2 3" xfId="3344"/>
    <cellStyle name="SAPBEXexcBad7 4 2 4" xfId="3345"/>
    <cellStyle name="SAPBEXexcBad7 4 3" xfId="3346"/>
    <cellStyle name="SAPBEXexcBad7 4 4" xfId="3347"/>
    <cellStyle name="SAPBEXexcBad7 4 5" xfId="3348"/>
    <cellStyle name="SAPBEXexcBad7 40" xfId="3349"/>
    <cellStyle name="SAPBEXexcBad7 41" xfId="3350"/>
    <cellStyle name="SAPBEXexcBad7 42" xfId="3351"/>
    <cellStyle name="SAPBEXexcBad7 43" xfId="3352"/>
    <cellStyle name="SAPBEXexcBad7 44" xfId="3353"/>
    <cellStyle name="SAPBEXexcBad7 5" xfId="3354"/>
    <cellStyle name="SAPBEXexcBad7 5 2" xfId="3355"/>
    <cellStyle name="SAPBEXexcBad7 5 2 2" xfId="3356"/>
    <cellStyle name="SAPBEXexcBad7 5 2 3" xfId="3357"/>
    <cellStyle name="SAPBEXexcBad7 5 2 4" xfId="3358"/>
    <cellStyle name="SAPBEXexcBad7 5 3" xfId="3359"/>
    <cellStyle name="SAPBEXexcBad7 5 4" xfId="3360"/>
    <cellStyle name="SAPBEXexcBad7 5 5" xfId="3361"/>
    <cellStyle name="SAPBEXexcBad7 6" xfId="3362"/>
    <cellStyle name="SAPBEXexcBad7 6 2" xfId="3363"/>
    <cellStyle name="SAPBEXexcBad7 6 3" xfId="3364"/>
    <cellStyle name="SAPBEXexcBad7 6 4" xfId="3365"/>
    <cellStyle name="SAPBEXexcBad7 7" xfId="3366"/>
    <cellStyle name="SAPBEXexcBad7 8" xfId="3367"/>
    <cellStyle name="SAPBEXexcBad7 9" xfId="3368"/>
    <cellStyle name="SAPBEXexcBad8" xfId="3369"/>
    <cellStyle name="SAPBEXexcBad8 10" xfId="3370"/>
    <cellStyle name="SAPBEXexcBad8 11" xfId="3371"/>
    <cellStyle name="SAPBEXexcBad8 12" xfId="3372"/>
    <cellStyle name="SAPBEXexcBad8 13" xfId="3373"/>
    <cellStyle name="SAPBEXexcBad8 14" xfId="3374"/>
    <cellStyle name="SAPBEXexcBad8 15" xfId="3375"/>
    <cellStyle name="SAPBEXexcBad8 16" xfId="3376"/>
    <cellStyle name="SAPBEXexcBad8 17" xfId="3377"/>
    <cellStyle name="SAPBEXexcBad8 18" xfId="3378"/>
    <cellStyle name="SAPBEXexcBad8 19" xfId="3379"/>
    <cellStyle name="SAPBEXexcBad8 2" xfId="3380"/>
    <cellStyle name="SAPBEXexcBad8 2 2" xfId="3381"/>
    <cellStyle name="SAPBEXexcBad8 2 2 2" xfId="3382"/>
    <cellStyle name="SAPBEXexcBad8 2 2 3" xfId="3383"/>
    <cellStyle name="SAPBEXexcBad8 2 2 4" xfId="3384"/>
    <cellStyle name="SAPBEXexcBad8 2 3" xfId="3385"/>
    <cellStyle name="SAPBEXexcBad8 2 4" xfId="3386"/>
    <cellStyle name="SAPBEXexcBad8 2 5" xfId="3387"/>
    <cellStyle name="SAPBEXexcBad8 20" xfId="3388"/>
    <cellStyle name="SAPBEXexcBad8 21" xfId="3389"/>
    <cellStyle name="SAPBEXexcBad8 22" xfId="3390"/>
    <cellStyle name="SAPBEXexcBad8 23" xfId="3391"/>
    <cellStyle name="SAPBEXexcBad8 24" xfId="3392"/>
    <cellStyle name="SAPBEXexcBad8 25" xfId="3393"/>
    <cellStyle name="SAPBEXexcBad8 26" xfId="3394"/>
    <cellStyle name="SAPBEXexcBad8 27" xfId="3395"/>
    <cellStyle name="SAPBEXexcBad8 28" xfId="3396"/>
    <cellStyle name="SAPBEXexcBad8 29" xfId="3397"/>
    <cellStyle name="SAPBEXexcBad8 3" xfId="3398"/>
    <cellStyle name="SAPBEXexcBad8 3 2" xfId="3399"/>
    <cellStyle name="SAPBEXexcBad8 3 2 2" xfId="3400"/>
    <cellStyle name="SAPBEXexcBad8 3 2 3" xfId="3401"/>
    <cellStyle name="SAPBEXexcBad8 3 2 4" xfId="3402"/>
    <cellStyle name="SAPBEXexcBad8 3 3" xfId="3403"/>
    <cellStyle name="SAPBEXexcBad8 3 4" xfId="3404"/>
    <cellStyle name="SAPBEXexcBad8 3 5" xfId="3405"/>
    <cellStyle name="SAPBEXexcBad8 30" xfId="3406"/>
    <cellStyle name="SAPBEXexcBad8 31" xfId="3407"/>
    <cellStyle name="SAPBEXexcBad8 32" xfId="3408"/>
    <cellStyle name="SAPBEXexcBad8 33" xfId="3409"/>
    <cellStyle name="SAPBEXexcBad8 34" xfId="3410"/>
    <cellStyle name="SAPBEXexcBad8 35" xfId="3411"/>
    <cellStyle name="SAPBEXexcBad8 36" xfId="3412"/>
    <cellStyle name="SAPBEXexcBad8 37" xfId="3413"/>
    <cellStyle name="SAPBEXexcBad8 38" xfId="3414"/>
    <cellStyle name="SAPBEXexcBad8 39" xfId="3415"/>
    <cellStyle name="SAPBEXexcBad8 4" xfId="3416"/>
    <cellStyle name="SAPBEXexcBad8 4 2" xfId="3417"/>
    <cellStyle name="SAPBEXexcBad8 4 2 2" xfId="3418"/>
    <cellStyle name="SAPBEXexcBad8 4 2 3" xfId="3419"/>
    <cellStyle name="SAPBEXexcBad8 4 2 4" xfId="3420"/>
    <cellStyle name="SAPBEXexcBad8 4 3" xfId="3421"/>
    <cellStyle name="SAPBEXexcBad8 4 4" xfId="3422"/>
    <cellStyle name="SAPBEXexcBad8 4 5" xfId="3423"/>
    <cellStyle name="SAPBEXexcBad8 40" xfId="3424"/>
    <cellStyle name="SAPBEXexcBad8 41" xfId="3425"/>
    <cellStyle name="SAPBEXexcBad8 42" xfId="3426"/>
    <cellStyle name="SAPBEXexcBad8 43" xfId="3427"/>
    <cellStyle name="SAPBEXexcBad8 44" xfId="3428"/>
    <cellStyle name="SAPBEXexcBad8 5" xfId="3429"/>
    <cellStyle name="SAPBEXexcBad8 5 2" xfId="3430"/>
    <cellStyle name="SAPBEXexcBad8 5 2 2" xfId="3431"/>
    <cellStyle name="SAPBEXexcBad8 5 2 3" xfId="3432"/>
    <cellStyle name="SAPBEXexcBad8 5 2 4" xfId="3433"/>
    <cellStyle name="SAPBEXexcBad8 5 3" xfId="3434"/>
    <cellStyle name="SAPBEXexcBad8 5 4" xfId="3435"/>
    <cellStyle name="SAPBEXexcBad8 5 5" xfId="3436"/>
    <cellStyle name="SAPBEXexcBad8 6" xfId="3437"/>
    <cellStyle name="SAPBEXexcBad8 6 2" xfId="3438"/>
    <cellStyle name="SAPBEXexcBad8 6 3" xfId="3439"/>
    <cellStyle name="SAPBEXexcBad8 6 4" xfId="3440"/>
    <cellStyle name="SAPBEXexcBad8 7" xfId="3441"/>
    <cellStyle name="SAPBEXexcBad8 8" xfId="3442"/>
    <cellStyle name="SAPBEXexcBad8 9" xfId="3443"/>
    <cellStyle name="SAPBEXexcBad9" xfId="3444"/>
    <cellStyle name="SAPBEXexcBad9 10" xfId="3445"/>
    <cellStyle name="SAPBEXexcBad9 11" xfId="3446"/>
    <cellStyle name="SAPBEXexcBad9 12" xfId="3447"/>
    <cellStyle name="SAPBEXexcBad9 13" xfId="3448"/>
    <cellStyle name="SAPBEXexcBad9 14" xfId="3449"/>
    <cellStyle name="SAPBEXexcBad9 15" xfId="3450"/>
    <cellStyle name="SAPBEXexcBad9 16" xfId="3451"/>
    <cellStyle name="SAPBEXexcBad9 17" xfId="3452"/>
    <cellStyle name="SAPBEXexcBad9 18" xfId="3453"/>
    <cellStyle name="SAPBEXexcBad9 19" xfId="3454"/>
    <cellStyle name="SAPBEXexcBad9 2" xfId="3455"/>
    <cellStyle name="SAPBEXexcBad9 2 2" xfId="3456"/>
    <cellStyle name="SAPBEXexcBad9 2 2 2" xfId="3457"/>
    <cellStyle name="SAPBEXexcBad9 2 2 3" xfId="3458"/>
    <cellStyle name="SAPBEXexcBad9 2 2 4" xfId="3459"/>
    <cellStyle name="SAPBEXexcBad9 2 3" xfId="3460"/>
    <cellStyle name="SAPBEXexcBad9 2 4" xfId="3461"/>
    <cellStyle name="SAPBEXexcBad9 2 5" xfId="3462"/>
    <cellStyle name="SAPBEXexcBad9 20" xfId="3463"/>
    <cellStyle name="SAPBEXexcBad9 21" xfId="3464"/>
    <cellStyle name="SAPBEXexcBad9 22" xfId="3465"/>
    <cellStyle name="SAPBEXexcBad9 23" xfId="3466"/>
    <cellStyle name="SAPBEXexcBad9 24" xfId="3467"/>
    <cellStyle name="SAPBEXexcBad9 25" xfId="3468"/>
    <cellStyle name="SAPBEXexcBad9 26" xfId="3469"/>
    <cellStyle name="SAPBEXexcBad9 27" xfId="3470"/>
    <cellStyle name="SAPBEXexcBad9 28" xfId="3471"/>
    <cellStyle name="SAPBEXexcBad9 29" xfId="3472"/>
    <cellStyle name="SAPBEXexcBad9 3" xfId="3473"/>
    <cellStyle name="SAPBEXexcBad9 3 2" xfId="3474"/>
    <cellStyle name="SAPBEXexcBad9 3 2 2" xfId="3475"/>
    <cellStyle name="SAPBEXexcBad9 3 2 3" xfId="3476"/>
    <cellStyle name="SAPBEXexcBad9 3 2 4" xfId="3477"/>
    <cellStyle name="SAPBEXexcBad9 3 3" xfId="3478"/>
    <cellStyle name="SAPBEXexcBad9 3 4" xfId="3479"/>
    <cellStyle name="SAPBEXexcBad9 3 5" xfId="3480"/>
    <cellStyle name="SAPBEXexcBad9 30" xfId="3481"/>
    <cellStyle name="SAPBEXexcBad9 31" xfId="3482"/>
    <cellStyle name="SAPBEXexcBad9 32" xfId="3483"/>
    <cellStyle name="SAPBEXexcBad9 33" xfId="3484"/>
    <cellStyle name="SAPBEXexcBad9 34" xfId="3485"/>
    <cellStyle name="SAPBEXexcBad9 35" xfId="3486"/>
    <cellStyle name="SAPBEXexcBad9 36" xfId="3487"/>
    <cellStyle name="SAPBEXexcBad9 37" xfId="3488"/>
    <cellStyle name="SAPBEXexcBad9 38" xfId="3489"/>
    <cellStyle name="SAPBEXexcBad9 39" xfId="3490"/>
    <cellStyle name="SAPBEXexcBad9 4" xfId="3491"/>
    <cellStyle name="SAPBEXexcBad9 4 2" xfId="3492"/>
    <cellStyle name="SAPBEXexcBad9 4 2 2" xfId="3493"/>
    <cellStyle name="SAPBEXexcBad9 4 2 3" xfId="3494"/>
    <cellStyle name="SAPBEXexcBad9 4 2 4" xfId="3495"/>
    <cellStyle name="SAPBEXexcBad9 4 3" xfId="3496"/>
    <cellStyle name="SAPBEXexcBad9 4 4" xfId="3497"/>
    <cellStyle name="SAPBEXexcBad9 4 5" xfId="3498"/>
    <cellStyle name="SAPBEXexcBad9 40" xfId="3499"/>
    <cellStyle name="SAPBEXexcBad9 41" xfId="3500"/>
    <cellStyle name="SAPBEXexcBad9 42" xfId="3501"/>
    <cellStyle name="SAPBEXexcBad9 43" xfId="3502"/>
    <cellStyle name="SAPBEXexcBad9 44" xfId="3503"/>
    <cellStyle name="SAPBEXexcBad9 5" xfId="3504"/>
    <cellStyle name="SAPBEXexcBad9 5 2" xfId="3505"/>
    <cellStyle name="SAPBEXexcBad9 5 2 2" xfId="3506"/>
    <cellStyle name="SAPBEXexcBad9 5 2 3" xfId="3507"/>
    <cellStyle name="SAPBEXexcBad9 5 2 4" xfId="3508"/>
    <cellStyle name="SAPBEXexcBad9 5 3" xfId="3509"/>
    <cellStyle name="SAPBEXexcBad9 5 4" xfId="3510"/>
    <cellStyle name="SAPBEXexcBad9 5 5" xfId="3511"/>
    <cellStyle name="SAPBEXexcBad9 6" xfId="3512"/>
    <cellStyle name="SAPBEXexcBad9 6 2" xfId="3513"/>
    <cellStyle name="SAPBEXexcBad9 6 3" xfId="3514"/>
    <cellStyle name="SAPBEXexcBad9 6 4" xfId="3515"/>
    <cellStyle name="SAPBEXexcBad9 7" xfId="3516"/>
    <cellStyle name="SAPBEXexcBad9 8" xfId="3517"/>
    <cellStyle name="SAPBEXexcBad9 9" xfId="3518"/>
    <cellStyle name="SAPBEXexcCritical4" xfId="3519"/>
    <cellStyle name="SAPBEXexcCritical4 10" xfId="3520"/>
    <cellStyle name="SAPBEXexcCritical4 11" xfId="3521"/>
    <cellStyle name="SAPBEXexcCritical4 12" xfId="3522"/>
    <cellStyle name="SAPBEXexcCritical4 13" xfId="3523"/>
    <cellStyle name="SAPBEXexcCritical4 14" xfId="3524"/>
    <cellStyle name="SAPBEXexcCritical4 15" xfId="3525"/>
    <cellStyle name="SAPBEXexcCritical4 16" xfId="3526"/>
    <cellStyle name="SAPBEXexcCritical4 17" xfId="3527"/>
    <cellStyle name="SAPBEXexcCritical4 18" xfId="3528"/>
    <cellStyle name="SAPBEXexcCritical4 19" xfId="3529"/>
    <cellStyle name="SAPBEXexcCritical4 2" xfId="3530"/>
    <cellStyle name="SAPBEXexcCritical4 2 2" xfId="3531"/>
    <cellStyle name="SAPBEXexcCritical4 2 2 2" xfId="3532"/>
    <cellStyle name="SAPBEXexcCritical4 2 2 3" xfId="3533"/>
    <cellStyle name="SAPBEXexcCritical4 2 2 4" xfId="3534"/>
    <cellStyle name="SAPBEXexcCritical4 2 3" xfId="3535"/>
    <cellStyle name="SAPBEXexcCritical4 2 4" xfId="3536"/>
    <cellStyle name="SAPBEXexcCritical4 2 5" xfId="3537"/>
    <cellStyle name="SAPBEXexcCritical4 20" xfId="3538"/>
    <cellStyle name="SAPBEXexcCritical4 21" xfId="3539"/>
    <cellStyle name="SAPBEXexcCritical4 22" xfId="3540"/>
    <cellStyle name="SAPBEXexcCritical4 23" xfId="3541"/>
    <cellStyle name="SAPBEXexcCritical4 24" xfId="3542"/>
    <cellStyle name="SAPBEXexcCritical4 25" xfId="3543"/>
    <cellStyle name="SAPBEXexcCritical4 26" xfId="3544"/>
    <cellStyle name="SAPBEXexcCritical4 27" xfId="3545"/>
    <cellStyle name="SAPBEXexcCritical4 28" xfId="3546"/>
    <cellStyle name="SAPBEXexcCritical4 29" xfId="3547"/>
    <cellStyle name="SAPBEXexcCritical4 3" xfId="3548"/>
    <cellStyle name="SAPBEXexcCritical4 3 2" xfId="3549"/>
    <cellStyle name="SAPBEXexcCritical4 3 2 2" xfId="3550"/>
    <cellStyle name="SAPBEXexcCritical4 3 2 3" xfId="3551"/>
    <cellStyle name="SAPBEXexcCritical4 3 2 4" xfId="3552"/>
    <cellStyle name="SAPBEXexcCritical4 3 3" xfId="3553"/>
    <cellStyle name="SAPBEXexcCritical4 3 4" xfId="3554"/>
    <cellStyle name="SAPBEXexcCritical4 3 5" xfId="3555"/>
    <cellStyle name="SAPBEXexcCritical4 30" xfId="3556"/>
    <cellStyle name="SAPBEXexcCritical4 31" xfId="3557"/>
    <cellStyle name="SAPBEXexcCritical4 32" xfId="3558"/>
    <cellStyle name="SAPBEXexcCritical4 33" xfId="3559"/>
    <cellStyle name="SAPBEXexcCritical4 34" xfId="3560"/>
    <cellStyle name="SAPBEXexcCritical4 35" xfId="3561"/>
    <cellStyle name="SAPBEXexcCritical4 36" xfId="3562"/>
    <cellStyle name="SAPBEXexcCritical4 37" xfId="3563"/>
    <cellStyle name="SAPBEXexcCritical4 38" xfId="3564"/>
    <cellStyle name="SAPBEXexcCritical4 39" xfId="3565"/>
    <cellStyle name="SAPBEXexcCritical4 4" xfId="3566"/>
    <cellStyle name="SAPBEXexcCritical4 4 2" xfId="3567"/>
    <cellStyle name="SAPBEXexcCritical4 4 2 2" xfId="3568"/>
    <cellStyle name="SAPBEXexcCritical4 4 2 3" xfId="3569"/>
    <cellStyle name="SAPBEXexcCritical4 4 2 4" xfId="3570"/>
    <cellStyle name="SAPBEXexcCritical4 4 3" xfId="3571"/>
    <cellStyle name="SAPBEXexcCritical4 4 4" xfId="3572"/>
    <cellStyle name="SAPBEXexcCritical4 4 5" xfId="3573"/>
    <cellStyle name="SAPBEXexcCritical4 40" xfId="3574"/>
    <cellStyle name="SAPBEXexcCritical4 41" xfId="3575"/>
    <cellStyle name="SAPBEXexcCritical4 42" xfId="3576"/>
    <cellStyle name="SAPBEXexcCritical4 43" xfId="3577"/>
    <cellStyle name="SAPBEXexcCritical4 44" xfId="3578"/>
    <cellStyle name="SAPBEXexcCritical4 5" xfId="3579"/>
    <cellStyle name="SAPBEXexcCritical4 5 2" xfId="3580"/>
    <cellStyle name="SAPBEXexcCritical4 5 2 2" xfId="3581"/>
    <cellStyle name="SAPBEXexcCritical4 5 2 3" xfId="3582"/>
    <cellStyle name="SAPBEXexcCritical4 5 2 4" xfId="3583"/>
    <cellStyle name="SAPBEXexcCritical4 5 3" xfId="3584"/>
    <cellStyle name="SAPBEXexcCritical4 5 4" xfId="3585"/>
    <cellStyle name="SAPBEXexcCritical4 5 5" xfId="3586"/>
    <cellStyle name="SAPBEXexcCritical4 6" xfId="3587"/>
    <cellStyle name="SAPBEXexcCritical4 6 2" xfId="3588"/>
    <cellStyle name="SAPBEXexcCritical4 6 3" xfId="3589"/>
    <cellStyle name="SAPBEXexcCritical4 6 4" xfId="3590"/>
    <cellStyle name="SAPBEXexcCritical4 7" xfId="3591"/>
    <cellStyle name="SAPBEXexcCritical4 8" xfId="3592"/>
    <cellStyle name="SAPBEXexcCritical4 9" xfId="3593"/>
    <cellStyle name="SAPBEXexcCritical5" xfId="3594"/>
    <cellStyle name="SAPBEXexcCritical5 10" xfId="3595"/>
    <cellStyle name="SAPBEXexcCritical5 11" xfId="3596"/>
    <cellStyle name="SAPBEXexcCritical5 12" xfId="3597"/>
    <cellStyle name="SAPBEXexcCritical5 13" xfId="3598"/>
    <cellStyle name="SAPBEXexcCritical5 14" xfId="3599"/>
    <cellStyle name="SAPBEXexcCritical5 15" xfId="3600"/>
    <cellStyle name="SAPBEXexcCritical5 16" xfId="3601"/>
    <cellStyle name="SAPBEXexcCritical5 17" xfId="3602"/>
    <cellStyle name="SAPBEXexcCritical5 18" xfId="3603"/>
    <cellStyle name="SAPBEXexcCritical5 19" xfId="3604"/>
    <cellStyle name="SAPBEXexcCritical5 2" xfId="3605"/>
    <cellStyle name="SAPBEXexcCritical5 2 2" xfId="3606"/>
    <cellStyle name="SAPBEXexcCritical5 2 2 2" xfId="3607"/>
    <cellStyle name="SAPBEXexcCritical5 2 2 3" xfId="3608"/>
    <cellStyle name="SAPBEXexcCritical5 2 2 4" xfId="3609"/>
    <cellStyle name="SAPBEXexcCritical5 2 3" xfId="3610"/>
    <cellStyle name="SAPBEXexcCritical5 2 4" xfId="3611"/>
    <cellStyle name="SAPBEXexcCritical5 2 5" xfId="3612"/>
    <cellStyle name="SAPBEXexcCritical5 20" xfId="3613"/>
    <cellStyle name="SAPBEXexcCritical5 21" xfId="3614"/>
    <cellStyle name="SAPBEXexcCritical5 22" xfId="3615"/>
    <cellStyle name="SAPBEXexcCritical5 23" xfId="3616"/>
    <cellStyle name="SAPBEXexcCritical5 24" xfId="3617"/>
    <cellStyle name="SAPBEXexcCritical5 25" xfId="3618"/>
    <cellStyle name="SAPBEXexcCritical5 26" xfId="3619"/>
    <cellStyle name="SAPBEXexcCritical5 27" xfId="3620"/>
    <cellStyle name="SAPBEXexcCritical5 28" xfId="3621"/>
    <cellStyle name="SAPBEXexcCritical5 29" xfId="3622"/>
    <cellStyle name="SAPBEXexcCritical5 3" xfId="3623"/>
    <cellStyle name="SAPBEXexcCritical5 3 2" xfId="3624"/>
    <cellStyle name="SAPBEXexcCritical5 3 2 2" xfId="3625"/>
    <cellStyle name="SAPBEXexcCritical5 3 2 3" xfId="3626"/>
    <cellStyle name="SAPBEXexcCritical5 3 2 4" xfId="3627"/>
    <cellStyle name="SAPBEXexcCritical5 3 3" xfId="3628"/>
    <cellStyle name="SAPBEXexcCritical5 3 4" xfId="3629"/>
    <cellStyle name="SAPBEXexcCritical5 3 5" xfId="3630"/>
    <cellStyle name="SAPBEXexcCritical5 30" xfId="3631"/>
    <cellStyle name="SAPBEXexcCritical5 31" xfId="3632"/>
    <cellStyle name="SAPBEXexcCritical5 32" xfId="3633"/>
    <cellStyle name="SAPBEXexcCritical5 33" xfId="3634"/>
    <cellStyle name="SAPBEXexcCritical5 34" xfId="3635"/>
    <cellStyle name="SAPBEXexcCritical5 35" xfId="3636"/>
    <cellStyle name="SAPBEXexcCritical5 36" xfId="3637"/>
    <cellStyle name="SAPBEXexcCritical5 37" xfId="3638"/>
    <cellStyle name="SAPBEXexcCritical5 38" xfId="3639"/>
    <cellStyle name="SAPBEXexcCritical5 39" xfId="3640"/>
    <cellStyle name="SAPBEXexcCritical5 4" xfId="3641"/>
    <cellStyle name="SAPBEXexcCritical5 4 2" xfId="3642"/>
    <cellStyle name="SAPBEXexcCritical5 4 2 2" xfId="3643"/>
    <cellStyle name="SAPBEXexcCritical5 4 2 3" xfId="3644"/>
    <cellStyle name="SAPBEXexcCritical5 4 2 4" xfId="3645"/>
    <cellStyle name="SAPBEXexcCritical5 4 3" xfId="3646"/>
    <cellStyle name="SAPBEXexcCritical5 4 4" xfId="3647"/>
    <cellStyle name="SAPBEXexcCritical5 4 5" xfId="3648"/>
    <cellStyle name="SAPBEXexcCritical5 40" xfId="3649"/>
    <cellStyle name="SAPBEXexcCritical5 41" xfId="3650"/>
    <cellStyle name="SAPBEXexcCritical5 42" xfId="3651"/>
    <cellStyle name="SAPBEXexcCritical5 43" xfId="3652"/>
    <cellStyle name="SAPBEXexcCritical5 44" xfId="3653"/>
    <cellStyle name="SAPBEXexcCritical5 5" xfId="3654"/>
    <cellStyle name="SAPBEXexcCritical5 5 2" xfId="3655"/>
    <cellStyle name="SAPBEXexcCritical5 5 2 2" xfId="3656"/>
    <cellStyle name="SAPBEXexcCritical5 5 2 3" xfId="3657"/>
    <cellStyle name="SAPBEXexcCritical5 5 2 4" xfId="3658"/>
    <cellStyle name="SAPBEXexcCritical5 5 3" xfId="3659"/>
    <cellStyle name="SAPBEXexcCritical5 5 4" xfId="3660"/>
    <cellStyle name="SAPBEXexcCritical5 5 5" xfId="3661"/>
    <cellStyle name="SAPBEXexcCritical5 6" xfId="3662"/>
    <cellStyle name="SAPBEXexcCritical5 6 2" xfId="3663"/>
    <cellStyle name="SAPBEXexcCritical5 6 3" xfId="3664"/>
    <cellStyle name="SAPBEXexcCritical5 6 4" xfId="3665"/>
    <cellStyle name="SAPBEXexcCritical5 7" xfId="3666"/>
    <cellStyle name="SAPBEXexcCritical5 8" xfId="3667"/>
    <cellStyle name="SAPBEXexcCritical5 9" xfId="3668"/>
    <cellStyle name="SAPBEXexcCritical6" xfId="3669"/>
    <cellStyle name="SAPBEXexcCritical6 10" xfId="3670"/>
    <cellStyle name="SAPBEXexcCritical6 11" xfId="3671"/>
    <cellStyle name="SAPBEXexcCritical6 12" xfId="3672"/>
    <cellStyle name="SAPBEXexcCritical6 13" xfId="3673"/>
    <cellStyle name="SAPBEXexcCritical6 14" xfId="3674"/>
    <cellStyle name="SAPBEXexcCritical6 15" xfId="3675"/>
    <cellStyle name="SAPBEXexcCritical6 16" xfId="3676"/>
    <cellStyle name="SAPBEXexcCritical6 17" xfId="3677"/>
    <cellStyle name="SAPBEXexcCritical6 18" xfId="3678"/>
    <cellStyle name="SAPBEXexcCritical6 19" xfId="3679"/>
    <cellStyle name="SAPBEXexcCritical6 2" xfId="3680"/>
    <cellStyle name="SAPBEXexcCritical6 2 2" xfId="3681"/>
    <cellStyle name="SAPBEXexcCritical6 2 2 2" xfId="3682"/>
    <cellStyle name="SAPBEXexcCritical6 2 2 3" xfId="3683"/>
    <cellStyle name="SAPBEXexcCritical6 2 2 4" xfId="3684"/>
    <cellStyle name="SAPBEXexcCritical6 2 3" xfId="3685"/>
    <cellStyle name="SAPBEXexcCritical6 2 4" xfId="3686"/>
    <cellStyle name="SAPBEXexcCritical6 2 5" xfId="3687"/>
    <cellStyle name="SAPBEXexcCritical6 20" xfId="3688"/>
    <cellStyle name="SAPBEXexcCritical6 21" xfId="3689"/>
    <cellStyle name="SAPBEXexcCritical6 22" xfId="3690"/>
    <cellStyle name="SAPBEXexcCritical6 23" xfId="3691"/>
    <cellStyle name="SAPBEXexcCritical6 24" xfId="3692"/>
    <cellStyle name="SAPBEXexcCritical6 25" xfId="3693"/>
    <cellStyle name="SAPBEXexcCritical6 26" xfId="3694"/>
    <cellStyle name="SAPBEXexcCritical6 27" xfId="3695"/>
    <cellStyle name="SAPBEXexcCritical6 28" xfId="3696"/>
    <cellStyle name="SAPBEXexcCritical6 29" xfId="3697"/>
    <cellStyle name="SAPBEXexcCritical6 3" xfId="3698"/>
    <cellStyle name="SAPBEXexcCritical6 3 2" xfId="3699"/>
    <cellStyle name="SAPBEXexcCritical6 3 2 2" xfId="3700"/>
    <cellStyle name="SAPBEXexcCritical6 3 2 3" xfId="3701"/>
    <cellStyle name="SAPBEXexcCritical6 3 2 4" xfId="3702"/>
    <cellStyle name="SAPBEXexcCritical6 3 3" xfId="3703"/>
    <cellStyle name="SAPBEXexcCritical6 3 4" xfId="3704"/>
    <cellStyle name="SAPBEXexcCritical6 3 5" xfId="3705"/>
    <cellStyle name="SAPBEXexcCritical6 30" xfId="3706"/>
    <cellStyle name="SAPBEXexcCritical6 31" xfId="3707"/>
    <cellStyle name="SAPBEXexcCritical6 32" xfId="3708"/>
    <cellStyle name="SAPBEXexcCritical6 33" xfId="3709"/>
    <cellStyle name="SAPBEXexcCritical6 34" xfId="3710"/>
    <cellStyle name="SAPBEXexcCritical6 35" xfId="3711"/>
    <cellStyle name="SAPBEXexcCritical6 36" xfId="3712"/>
    <cellStyle name="SAPBEXexcCritical6 37" xfId="3713"/>
    <cellStyle name="SAPBEXexcCritical6 38" xfId="3714"/>
    <cellStyle name="SAPBEXexcCritical6 39" xfId="3715"/>
    <cellStyle name="SAPBEXexcCritical6 4" xfId="3716"/>
    <cellStyle name="SAPBEXexcCritical6 4 2" xfId="3717"/>
    <cellStyle name="SAPBEXexcCritical6 4 2 2" xfId="3718"/>
    <cellStyle name="SAPBEXexcCritical6 4 2 3" xfId="3719"/>
    <cellStyle name="SAPBEXexcCritical6 4 2 4" xfId="3720"/>
    <cellStyle name="SAPBEXexcCritical6 4 3" xfId="3721"/>
    <cellStyle name="SAPBEXexcCritical6 4 4" xfId="3722"/>
    <cellStyle name="SAPBEXexcCritical6 4 5" xfId="3723"/>
    <cellStyle name="SAPBEXexcCritical6 40" xfId="3724"/>
    <cellStyle name="SAPBEXexcCritical6 41" xfId="3725"/>
    <cellStyle name="SAPBEXexcCritical6 42" xfId="3726"/>
    <cellStyle name="SAPBEXexcCritical6 43" xfId="3727"/>
    <cellStyle name="SAPBEXexcCritical6 44" xfId="3728"/>
    <cellStyle name="SAPBEXexcCritical6 5" xfId="3729"/>
    <cellStyle name="SAPBEXexcCritical6 5 2" xfId="3730"/>
    <cellStyle name="SAPBEXexcCritical6 5 2 2" xfId="3731"/>
    <cellStyle name="SAPBEXexcCritical6 5 2 3" xfId="3732"/>
    <cellStyle name="SAPBEXexcCritical6 5 2 4" xfId="3733"/>
    <cellStyle name="SAPBEXexcCritical6 5 3" xfId="3734"/>
    <cellStyle name="SAPBEXexcCritical6 5 4" xfId="3735"/>
    <cellStyle name="SAPBEXexcCritical6 5 5" xfId="3736"/>
    <cellStyle name="SAPBEXexcCritical6 6" xfId="3737"/>
    <cellStyle name="SAPBEXexcCritical6 6 2" xfId="3738"/>
    <cellStyle name="SAPBEXexcCritical6 6 3" xfId="3739"/>
    <cellStyle name="SAPBEXexcCritical6 6 4" xfId="3740"/>
    <cellStyle name="SAPBEXexcCritical6 7" xfId="3741"/>
    <cellStyle name="SAPBEXexcCritical6 8" xfId="3742"/>
    <cellStyle name="SAPBEXexcCritical6 9" xfId="3743"/>
    <cellStyle name="SAPBEXexcGood1" xfId="3744"/>
    <cellStyle name="SAPBEXexcGood1 10" xfId="3745"/>
    <cellStyle name="SAPBEXexcGood1 11" xfId="3746"/>
    <cellStyle name="SAPBEXexcGood1 12" xfId="3747"/>
    <cellStyle name="SAPBEXexcGood1 13" xfId="3748"/>
    <cellStyle name="SAPBEXexcGood1 14" xfId="3749"/>
    <cellStyle name="SAPBEXexcGood1 15" xfId="3750"/>
    <cellStyle name="SAPBEXexcGood1 16" xfId="3751"/>
    <cellStyle name="SAPBEXexcGood1 17" xfId="3752"/>
    <cellStyle name="SAPBEXexcGood1 18" xfId="3753"/>
    <cellStyle name="SAPBEXexcGood1 19" xfId="3754"/>
    <cellStyle name="SAPBEXexcGood1 2" xfId="3755"/>
    <cellStyle name="SAPBEXexcGood1 2 2" xfId="3756"/>
    <cellStyle name="SAPBEXexcGood1 2 2 2" xfId="3757"/>
    <cellStyle name="SAPBEXexcGood1 2 2 3" xfId="3758"/>
    <cellStyle name="SAPBEXexcGood1 2 2 4" xfId="3759"/>
    <cellStyle name="SAPBEXexcGood1 2 3" xfId="3760"/>
    <cellStyle name="SAPBEXexcGood1 2 4" xfId="3761"/>
    <cellStyle name="SAPBEXexcGood1 2 5" xfId="3762"/>
    <cellStyle name="SAPBEXexcGood1 20" xfId="3763"/>
    <cellStyle name="SAPBEXexcGood1 21" xfId="3764"/>
    <cellStyle name="SAPBEXexcGood1 22" xfId="3765"/>
    <cellStyle name="SAPBEXexcGood1 23" xfId="3766"/>
    <cellStyle name="SAPBEXexcGood1 24" xfId="3767"/>
    <cellStyle name="SAPBEXexcGood1 25" xfId="3768"/>
    <cellStyle name="SAPBEXexcGood1 26" xfId="3769"/>
    <cellStyle name="SAPBEXexcGood1 27" xfId="3770"/>
    <cellStyle name="SAPBEXexcGood1 28" xfId="3771"/>
    <cellStyle name="SAPBEXexcGood1 29" xfId="3772"/>
    <cellStyle name="SAPBEXexcGood1 3" xfId="3773"/>
    <cellStyle name="SAPBEXexcGood1 3 2" xfId="3774"/>
    <cellStyle name="SAPBEXexcGood1 3 2 2" xfId="3775"/>
    <cellStyle name="SAPBEXexcGood1 3 2 3" xfId="3776"/>
    <cellStyle name="SAPBEXexcGood1 3 2 4" xfId="3777"/>
    <cellStyle name="SAPBEXexcGood1 3 3" xfId="3778"/>
    <cellStyle name="SAPBEXexcGood1 3 4" xfId="3779"/>
    <cellStyle name="SAPBEXexcGood1 3 5" xfId="3780"/>
    <cellStyle name="SAPBEXexcGood1 30" xfId="3781"/>
    <cellStyle name="SAPBEXexcGood1 31" xfId="3782"/>
    <cellStyle name="SAPBEXexcGood1 32" xfId="3783"/>
    <cellStyle name="SAPBEXexcGood1 33" xfId="3784"/>
    <cellStyle name="SAPBEXexcGood1 34" xfId="3785"/>
    <cellStyle name="SAPBEXexcGood1 35" xfId="3786"/>
    <cellStyle name="SAPBEXexcGood1 36" xfId="3787"/>
    <cellStyle name="SAPBEXexcGood1 37" xfId="3788"/>
    <cellStyle name="SAPBEXexcGood1 38" xfId="3789"/>
    <cellStyle name="SAPBEXexcGood1 39" xfId="3790"/>
    <cellStyle name="SAPBEXexcGood1 4" xfId="3791"/>
    <cellStyle name="SAPBEXexcGood1 4 2" xfId="3792"/>
    <cellStyle name="SAPBEXexcGood1 4 2 2" xfId="3793"/>
    <cellStyle name="SAPBEXexcGood1 4 2 3" xfId="3794"/>
    <cellStyle name="SAPBEXexcGood1 4 2 4" xfId="3795"/>
    <cellStyle name="SAPBEXexcGood1 4 3" xfId="3796"/>
    <cellStyle name="SAPBEXexcGood1 4 4" xfId="3797"/>
    <cellStyle name="SAPBEXexcGood1 4 5" xfId="3798"/>
    <cellStyle name="SAPBEXexcGood1 40" xfId="3799"/>
    <cellStyle name="SAPBEXexcGood1 41" xfId="3800"/>
    <cellStyle name="SAPBEXexcGood1 42" xfId="3801"/>
    <cellStyle name="SAPBEXexcGood1 43" xfId="3802"/>
    <cellStyle name="SAPBEXexcGood1 44" xfId="3803"/>
    <cellStyle name="SAPBEXexcGood1 5" xfId="3804"/>
    <cellStyle name="SAPBEXexcGood1 5 2" xfId="3805"/>
    <cellStyle name="SAPBEXexcGood1 5 2 2" xfId="3806"/>
    <cellStyle name="SAPBEXexcGood1 5 2 3" xfId="3807"/>
    <cellStyle name="SAPBEXexcGood1 5 2 4" xfId="3808"/>
    <cellStyle name="SAPBEXexcGood1 5 3" xfId="3809"/>
    <cellStyle name="SAPBEXexcGood1 5 4" xfId="3810"/>
    <cellStyle name="SAPBEXexcGood1 5 5" xfId="3811"/>
    <cellStyle name="SAPBEXexcGood1 6" xfId="3812"/>
    <cellStyle name="SAPBEXexcGood1 6 2" xfId="3813"/>
    <cellStyle name="SAPBEXexcGood1 6 3" xfId="3814"/>
    <cellStyle name="SAPBEXexcGood1 6 4" xfId="3815"/>
    <cellStyle name="SAPBEXexcGood1 7" xfId="3816"/>
    <cellStyle name="SAPBEXexcGood1 8" xfId="3817"/>
    <cellStyle name="SAPBEXexcGood1 9" xfId="3818"/>
    <cellStyle name="SAPBEXexcGood2" xfId="3819"/>
    <cellStyle name="SAPBEXexcGood2 10" xfId="3820"/>
    <cellStyle name="SAPBEXexcGood2 11" xfId="3821"/>
    <cellStyle name="SAPBEXexcGood2 12" xfId="3822"/>
    <cellStyle name="SAPBEXexcGood2 13" xfId="3823"/>
    <cellStyle name="SAPBEXexcGood2 14" xfId="3824"/>
    <cellStyle name="SAPBEXexcGood2 15" xfId="3825"/>
    <cellStyle name="SAPBEXexcGood2 16" xfId="3826"/>
    <cellStyle name="SAPBEXexcGood2 17" xfId="3827"/>
    <cellStyle name="SAPBEXexcGood2 18" xfId="3828"/>
    <cellStyle name="SAPBEXexcGood2 19" xfId="3829"/>
    <cellStyle name="SAPBEXexcGood2 2" xfId="3830"/>
    <cellStyle name="SAPBEXexcGood2 2 2" xfId="3831"/>
    <cellStyle name="SAPBEXexcGood2 2 2 2" xfId="3832"/>
    <cellStyle name="SAPBEXexcGood2 2 2 3" xfId="3833"/>
    <cellStyle name="SAPBEXexcGood2 2 2 4" xfId="3834"/>
    <cellStyle name="SAPBEXexcGood2 2 3" xfId="3835"/>
    <cellStyle name="SAPBEXexcGood2 2 4" xfId="3836"/>
    <cellStyle name="SAPBEXexcGood2 2 5" xfId="3837"/>
    <cellStyle name="SAPBEXexcGood2 20" xfId="3838"/>
    <cellStyle name="SAPBEXexcGood2 21" xfId="3839"/>
    <cellStyle name="SAPBEXexcGood2 22" xfId="3840"/>
    <cellStyle name="SAPBEXexcGood2 23" xfId="3841"/>
    <cellStyle name="SAPBEXexcGood2 24" xfId="3842"/>
    <cellStyle name="SAPBEXexcGood2 25" xfId="3843"/>
    <cellStyle name="SAPBEXexcGood2 26" xfId="3844"/>
    <cellStyle name="SAPBEXexcGood2 27" xfId="3845"/>
    <cellStyle name="SAPBEXexcGood2 28" xfId="3846"/>
    <cellStyle name="SAPBEXexcGood2 29" xfId="3847"/>
    <cellStyle name="SAPBEXexcGood2 3" xfId="3848"/>
    <cellStyle name="SAPBEXexcGood2 3 2" xfId="3849"/>
    <cellStyle name="SAPBEXexcGood2 3 2 2" xfId="3850"/>
    <cellStyle name="SAPBEXexcGood2 3 2 3" xfId="3851"/>
    <cellStyle name="SAPBEXexcGood2 3 2 4" xfId="3852"/>
    <cellStyle name="SAPBEXexcGood2 3 3" xfId="3853"/>
    <cellStyle name="SAPBEXexcGood2 3 4" xfId="3854"/>
    <cellStyle name="SAPBEXexcGood2 3 5" xfId="3855"/>
    <cellStyle name="SAPBEXexcGood2 30" xfId="3856"/>
    <cellStyle name="SAPBEXexcGood2 31" xfId="3857"/>
    <cellStyle name="SAPBEXexcGood2 32" xfId="3858"/>
    <cellStyle name="SAPBEXexcGood2 33" xfId="3859"/>
    <cellStyle name="SAPBEXexcGood2 34" xfId="3860"/>
    <cellStyle name="SAPBEXexcGood2 35" xfId="3861"/>
    <cellStyle name="SAPBEXexcGood2 36" xfId="3862"/>
    <cellStyle name="SAPBEXexcGood2 37" xfId="3863"/>
    <cellStyle name="SAPBEXexcGood2 38" xfId="3864"/>
    <cellStyle name="SAPBEXexcGood2 39" xfId="3865"/>
    <cellStyle name="SAPBEXexcGood2 4" xfId="3866"/>
    <cellStyle name="SAPBEXexcGood2 4 2" xfId="3867"/>
    <cellStyle name="SAPBEXexcGood2 4 2 2" xfId="3868"/>
    <cellStyle name="SAPBEXexcGood2 4 2 3" xfId="3869"/>
    <cellStyle name="SAPBEXexcGood2 4 2 4" xfId="3870"/>
    <cellStyle name="SAPBEXexcGood2 4 3" xfId="3871"/>
    <cellStyle name="SAPBEXexcGood2 4 4" xfId="3872"/>
    <cellStyle name="SAPBEXexcGood2 4 5" xfId="3873"/>
    <cellStyle name="SAPBEXexcGood2 40" xfId="3874"/>
    <cellStyle name="SAPBEXexcGood2 41" xfId="3875"/>
    <cellStyle name="SAPBEXexcGood2 42" xfId="3876"/>
    <cellStyle name="SAPBEXexcGood2 43" xfId="3877"/>
    <cellStyle name="SAPBEXexcGood2 44" xfId="3878"/>
    <cellStyle name="SAPBEXexcGood2 5" xfId="3879"/>
    <cellStyle name="SAPBEXexcGood2 5 2" xfId="3880"/>
    <cellStyle name="SAPBEXexcGood2 5 2 2" xfId="3881"/>
    <cellStyle name="SAPBEXexcGood2 5 2 3" xfId="3882"/>
    <cellStyle name="SAPBEXexcGood2 5 2 4" xfId="3883"/>
    <cellStyle name="SAPBEXexcGood2 5 3" xfId="3884"/>
    <cellStyle name="SAPBEXexcGood2 5 4" xfId="3885"/>
    <cellStyle name="SAPBEXexcGood2 5 5" xfId="3886"/>
    <cellStyle name="SAPBEXexcGood2 6" xfId="3887"/>
    <cellStyle name="SAPBEXexcGood2 6 2" xfId="3888"/>
    <cellStyle name="SAPBEXexcGood2 6 3" xfId="3889"/>
    <cellStyle name="SAPBEXexcGood2 6 4" xfId="3890"/>
    <cellStyle name="SAPBEXexcGood2 7" xfId="3891"/>
    <cellStyle name="SAPBEXexcGood2 8" xfId="3892"/>
    <cellStyle name="SAPBEXexcGood2 9" xfId="3893"/>
    <cellStyle name="SAPBEXexcGood3" xfId="3894"/>
    <cellStyle name="SAPBEXexcGood3 10" xfId="3895"/>
    <cellStyle name="SAPBEXexcGood3 11" xfId="3896"/>
    <cellStyle name="SAPBEXexcGood3 12" xfId="3897"/>
    <cellStyle name="SAPBEXexcGood3 13" xfId="3898"/>
    <cellStyle name="SAPBEXexcGood3 14" xfId="3899"/>
    <cellStyle name="SAPBEXexcGood3 15" xfId="3900"/>
    <cellStyle name="SAPBEXexcGood3 16" xfId="3901"/>
    <cellStyle name="SAPBEXexcGood3 17" xfId="3902"/>
    <cellStyle name="SAPBEXexcGood3 18" xfId="3903"/>
    <cellStyle name="SAPBEXexcGood3 19" xfId="3904"/>
    <cellStyle name="SAPBEXexcGood3 2" xfId="3905"/>
    <cellStyle name="SAPBEXexcGood3 2 2" xfId="3906"/>
    <cellStyle name="SAPBEXexcGood3 2 2 2" xfId="3907"/>
    <cellStyle name="SAPBEXexcGood3 2 2 3" xfId="3908"/>
    <cellStyle name="SAPBEXexcGood3 2 2 4" xfId="3909"/>
    <cellStyle name="SAPBEXexcGood3 2 3" xfId="3910"/>
    <cellStyle name="SAPBEXexcGood3 2 4" xfId="3911"/>
    <cellStyle name="SAPBEXexcGood3 2 5" xfId="3912"/>
    <cellStyle name="SAPBEXexcGood3 20" xfId="3913"/>
    <cellStyle name="SAPBEXexcGood3 21" xfId="3914"/>
    <cellStyle name="SAPBEXexcGood3 22" xfId="3915"/>
    <cellStyle name="SAPBEXexcGood3 23" xfId="3916"/>
    <cellStyle name="SAPBEXexcGood3 24" xfId="3917"/>
    <cellStyle name="SAPBEXexcGood3 25" xfId="3918"/>
    <cellStyle name="SAPBEXexcGood3 26" xfId="3919"/>
    <cellStyle name="SAPBEXexcGood3 27" xfId="3920"/>
    <cellStyle name="SAPBEXexcGood3 28" xfId="3921"/>
    <cellStyle name="SAPBEXexcGood3 29" xfId="3922"/>
    <cellStyle name="SAPBEXexcGood3 3" xfId="3923"/>
    <cellStyle name="SAPBEXexcGood3 3 2" xfId="3924"/>
    <cellStyle name="SAPBEXexcGood3 3 2 2" xfId="3925"/>
    <cellStyle name="SAPBEXexcGood3 3 2 3" xfId="3926"/>
    <cellStyle name="SAPBEXexcGood3 3 2 4" xfId="3927"/>
    <cellStyle name="SAPBEXexcGood3 3 3" xfId="3928"/>
    <cellStyle name="SAPBEXexcGood3 3 4" xfId="3929"/>
    <cellStyle name="SAPBEXexcGood3 3 5" xfId="3930"/>
    <cellStyle name="SAPBEXexcGood3 30" xfId="3931"/>
    <cellStyle name="SAPBEXexcGood3 31" xfId="3932"/>
    <cellStyle name="SAPBEXexcGood3 32" xfId="3933"/>
    <cellStyle name="SAPBEXexcGood3 33" xfId="3934"/>
    <cellStyle name="SAPBEXexcGood3 34" xfId="3935"/>
    <cellStyle name="SAPBEXexcGood3 35" xfId="3936"/>
    <cellStyle name="SAPBEXexcGood3 36" xfId="3937"/>
    <cellStyle name="SAPBEXexcGood3 37" xfId="3938"/>
    <cellStyle name="SAPBEXexcGood3 38" xfId="3939"/>
    <cellStyle name="SAPBEXexcGood3 39" xfId="3940"/>
    <cellStyle name="SAPBEXexcGood3 4" xfId="3941"/>
    <cellStyle name="SAPBEXexcGood3 4 2" xfId="3942"/>
    <cellStyle name="SAPBEXexcGood3 4 2 2" xfId="3943"/>
    <cellStyle name="SAPBEXexcGood3 4 2 3" xfId="3944"/>
    <cellStyle name="SAPBEXexcGood3 4 2 4" xfId="3945"/>
    <cellStyle name="SAPBEXexcGood3 4 3" xfId="3946"/>
    <cellStyle name="SAPBEXexcGood3 4 4" xfId="3947"/>
    <cellStyle name="SAPBEXexcGood3 4 5" xfId="3948"/>
    <cellStyle name="SAPBEXexcGood3 40" xfId="3949"/>
    <cellStyle name="SAPBEXexcGood3 41" xfId="3950"/>
    <cellStyle name="SAPBEXexcGood3 42" xfId="3951"/>
    <cellStyle name="SAPBEXexcGood3 43" xfId="3952"/>
    <cellStyle name="SAPBEXexcGood3 44" xfId="3953"/>
    <cellStyle name="SAPBEXexcGood3 5" xfId="3954"/>
    <cellStyle name="SAPBEXexcGood3 5 2" xfId="3955"/>
    <cellStyle name="SAPBEXexcGood3 5 2 2" xfId="3956"/>
    <cellStyle name="SAPBEXexcGood3 5 2 3" xfId="3957"/>
    <cellStyle name="SAPBEXexcGood3 5 2 4" xfId="3958"/>
    <cellStyle name="SAPBEXexcGood3 5 3" xfId="3959"/>
    <cellStyle name="SAPBEXexcGood3 5 4" xfId="3960"/>
    <cellStyle name="SAPBEXexcGood3 5 5" xfId="3961"/>
    <cellStyle name="SAPBEXexcGood3 6" xfId="3962"/>
    <cellStyle name="SAPBEXexcGood3 6 2" xfId="3963"/>
    <cellStyle name="SAPBEXexcGood3 6 3" xfId="3964"/>
    <cellStyle name="SAPBEXexcGood3 6 4" xfId="3965"/>
    <cellStyle name="SAPBEXexcGood3 7" xfId="3966"/>
    <cellStyle name="SAPBEXexcGood3 8" xfId="3967"/>
    <cellStyle name="SAPBEXexcGood3 9" xfId="3968"/>
    <cellStyle name="SAPBEXfilterDrill" xfId="3969"/>
    <cellStyle name="SAPBEXfilterDrill 2" xfId="3970"/>
    <cellStyle name="SAPBEXfilterDrill 2 2" xfId="3971"/>
    <cellStyle name="SAPBEXfilterDrill 2 2 2" xfId="3972"/>
    <cellStyle name="SAPBEXfilterDrill 2 2 3" xfId="3973"/>
    <cellStyle name="SAPBEXfilterDrill 2 2 4" xfId="3974"/>
    <cellStyle name="SAPBEXfilterDrill 2 3" xfId="3975"/>
    <cellStyle name="SAPBEXfilterDrill 2 4" xfId="3976"/>
    <cellStyle name="SAPBEXfilterDrill 2 5" xfId="3977"/>
    <cellStyle name="SAPBEXfilterDrill 3" xfId="3978"/>
    <cellStyle name="SAPBEXfilterDrill 3 2" xfId="3979"/>
    <cellStyle name="SAPBEXfilterDrill 3 2 2" xfId="3980"/>
    <cellStyle name="SAPBEXfilterDrill 3 2 3" xfId="3981"/>
    <cellStyle name="SAPBEXfilterDrill 3 2 4" xfId="3982"/>
    <cellStyle name="SAPBEXfilterDrill 3 3" xfId="3983"/>
    <cellStyle name="SAPBEXfilterDrill 3 4" xfId="3984"/>
    <cellStyle name="SAPBEXfilterDrill 3 5" xfId="3985"/>
    <cellStyle name="SAPBEXfilterDrill 4" xfId="3986"/>
    <cellStyle name="SAPBEXfilterDrill 4 2" xfId="3987"/>
    <cellStyle name="SAPBEXfilterDrill 4 2 2" xfId="3988"/>
    <cellStyle name="SAPBEXfilterDrill 4 2 3" xfId="3989"/>
    <cellStyle name="SAPBEXfilterDrill 4 2 4" xfId="3990"/>
    <cellStyle name="SAPBEXfilterDrill 4 3" xfId="3991"/>
    <cellStyle name="SAPBEXfilterDrill 4 4" xfId="3992"/>
    <cellStyle name="SAPBEXfilterDrill 4 5" xfId="3993"/>
    <cellStyle name="SAPBEXfilterDrill 5" xfId="3994"/>
    <cellStyle name="SAPBEXfilterDrill 5 2" xfId="3995"/>
    <cellStyle name="SAPBEXfilterDrill 5 2 2" xfId="3996"/>
    <cellStyle name="SAPBEXfilterDrill 5 2 3" xfId="3997"/>
    <cellStyle name="SAPBEXfilterDrill 5 2 4" xfId="3998"/>
    <cellStyle name="SAPBEXfilterDrill 5 3" xfId="3999"/>
    <cellStyle name="SAPBEXfilterDrill 5 4" xfId="4000"/>
    <cellStyle name="SAPBEXfilterDrill 5 5" xfId="4001"/>
    <cellStyle name="SAPBEXfilterDrill 6" xfId="4002"/>
    <cellStyle name="SAPBEXfilterDrill 6 2" xfId="4003"/>
    <cellStyle name="SAPBEXfilterDrill 6 3" xfId="4004"/>
    <cellStyle name="SAPBEXfilterDrill 6 4" xfId="4005"/>
    <cellStyle name="SAPBEXfilterDrill 7" xfId="4006"/>
    <cellStyle name="SAPBEXfilterDrill 8" xfId="4007"/>
    <cellStyle name="SAPBEXfilterDrill 9" xfId="4008"/>
    <cellStyle name="SAPBEXfilterItem" xfId="4009"/>
    <cellStyle name="SAPBEXfilterItem 2" xfId="4010"/>
    <cellStyle name="SAPBEXfilterItem 2 2" xfId="4011"/>
    <cellStyle name="SAPBEXfilterItem 2 2 2" xfId="4012"/>
    <cellStyle name="SAPBEXfilterItem 2 2 3" xfId="4013"/>
    <cellStyle name="SAPBEXfilterItem 2 2 4" xfId="4014"/>
    <cellStyle name="SAPBEXfilterItem 2 3" xfId="4015"/>
    <cellStyle name="SAPBEXfilterItem 2 4" xfId="4016"/>
    <cellStyle name="SAPBEXfilterItem 2 5" xfId="4017"/>
    <cellStyle name="SAPBEXfilterItem 3" xfId="4018"/>
    <cellStyle name="SAPBEXfilterItem 3 2" xfId="4019"/>
    <cellStyle name="SAPBEXfilterItem 3 2 2" xfId="4020"/>
    <cellStyle name="SAPBEXfilterItem 3 2 3" xfId="4021"/>
    <cellStyle name="SAPBEXfilterItem 3 2 4" xfId="4022"/>
    <cellStyle name="SAPBEXfilterItem 3 3" xfId="4023"/>
    <cellStyle name="SAPBEXfilterItem 3 4" xfId="4024"/>
    <cellStyle name="SAPBEXfilterItem 3 5" xfId="4025"/>
    <cellStyle name="SAPBEXfilterItem 4" xfId="4026"/>
    <cellStyle name="SAPBEXfilterItem 4 2" xfId="4027"/>
    <cellStyle name="SAPBEXfilterItem 4 2 2" xfId="4028"/>
    <cellStyle name="SAPBEXfilterItem 4 2 3" xfId="4029"/>
    <cellStyle name="SAPBEXfilterItem 4 2 4" xfId="4030"/>
    <cellStyle name="SAPBEXfilterItem 4 3" xfId="4031"/>
    <cellStyle name="SAPBEXfilterItem 4 4" xfId="4032"/>
    <cellStyle name="SAPBEXfilterItem 4 5" xfId="4033"/>
    <cellStyle name="SAPBEXfilterItem 5" xfId="4034"/>
    <cellStyle name="SAPBEXfilterItem 5 2" xfId="4035"/>
    <cellStyle name="SAPBEXfilterItem 5 2 2" xfId="4036"/>
    <cellStyle name="SAPBEXfilterItem 5 2 3" xfId="4037"/>
    <cellStyle name="SAPBEXfilterItem 5 2 4" xfId="4038"/>
    <cellStyle name="SAPBEXfilterItem 5 3" xfId="4039"/>
    <cellStyle name="SAPBEXfilterItem 5 4" xfId="4040"/>
    <cellStyle name="SAPBEXfilterItem 5 5" xfId="4041"/>
    <cellStyle name="SAPBEXfilterItem 6" xfId="4042"/>
    <cellStyle name="SAPBEXfilterItem 6 2" xfId="4043"/>
    <cellStyle name="SAPBEXfilterItem 6 3" xfId="4044"/>
    <cellStyle name="SAPBEXfilterItem 6 4" xfId="4045"/>
    <cellStyle name="SAPBEXfilterItem 7" xfId="4046"/>
    <cellStyle name="SAPBEXfilterItem 8" xfId="4047"/>
    <cellStyle name="SAPBEXfilterItem 9" xfId="4048"/>
    <cellStyle name="SAPBEXfilterText" xfId="4049"/>
    <cellStyle name="SAPBEXformats" xfId="4050"/>
    <cellStyle name="SAPBEXformats 10" xfId="4051"/>
    <cellStyle name="SAPBEXformats 11" xfId="4052"/>
    <cellStyle name="SAPBEXformats 12" xfId="4053"/>
    <cellStyle name="SAPBEXformats 13" xfId="4054"/>
    <cellStyle name="SAPBEXformats 14" xfId="4055"/>
    <cellStyle name="SAPBEXformats 15" xfId="4056"/>
    <cellStyle name="SAPBEXformats 16" xfId="4057"/>
    <cellStyle name="SAPBEXformats 17" xfId="4058"/>
    <cellStyle name="SAPBEXformats 18" xfId="4059"/>
    <cellStyle name="SAPBEXformats 19" xfId="4060"/>
    <cellStyle name="SAPBEXformats 2" xfId="4061"/>
    <cellStyle name="SAPBEXformats 2 2" xfId="4062"/>
    <cellStyle name="SAPBEXformats 2 2 2" xfId="4063"/>
    <cellStyle name="SAPBEXformats 2 2 3" xfId="4064"/>
    <cellStyle name="SAPBEXformats 2 2 4" xfId="4065"/>
    <cellStyle name="SAPBEXformats 2 3" xfId="4066"/>
    <cellStyle name="SAPBEXformats 2 4" xfId="4067"/>
    <cellStyle name="SAPBEXformats 2 5" xfId="4068"/>
    <cellStyle name="SAPBEXformats 20" xfId="4069"/>
    <cellStyle name="SAPBEXformats 21" xfId="4070"/>
    <cellStyle name="SAPBEXformats 22" xfId="4071"/>
    <cellStyle name="SAPBEXformats 23" xfId="4072"/>
    <cellStyle name="SAPBEXformats 24" xfId="4073"/>
    <cellStyle name="SAPBEXformats 25" xfId="4074"/>
    <cellStyle name="SAPBEXformats 26" xfId="4075"/>
    <cellStyle name="SAPBEXformats 27" xfId="4076"/>
    <cellStyle name="SAPBEXformats 28" xfId="4077"/>
    <cellStyle name="SAPBEXformats 29" xfId="4078"/>
    <cellStyle name="SAPBEXformats 3" xfId="4079"/>
    <cellStyle name="SAPBEXformats 3 2" xfId="4080"/>
    <cellStyle name="SAPBEXformats 3 2 2" xfId="4081"/>
    <cellStyle name="SAPBEXformats 3 2 3" xfId="4082"/>
    <cellStyle name="SAPBEXformats 3 2 4" xfId="4083"/>
    <cellStyle name="SAPBEXformats 3 3" xfId="4084"/>
    <cellStyle name="SAPBEXformats 3 4" xfId="4085"/>
    <cellStyle name="SAPBEXformats 3 5" xfId="4086"/>
    <cellStyle name="SAPBEXformats 30" xfId="4087"/>
    <cellStyle name="SAPBEXformats 31" xfId="4088"/>
    <cellStyle name="SAPBEXformats 32" xfId="4089"/>
    <cellStyle name="SAPBEXformats 33" xfId="4090"/>
    <cellStyle name="SAPBEXformats 34" xfId="4091"/>
    <cellStyle name="SAPBEXformats 35" xfId="4092"/>
    <cellStyle name="SAPBEXformats 36" xfId="4093"/>
    <cellStyle name="SAPBEXformats 37" xfId="4094"/>
    <cellStyle name="SAPBEXformats 38" xfId="4095"/>
    <cellStyle name="SAPBEXformats 39" xfId="4096"/>
    <cellStyle name="SAPBEXformats 4" xfId="4097"/>
    <cellStyle name="SAPBEXformats 4 2" xfId="4098"/>
    <cellStyle name="SAPBEXformats 4 2 2" xfId="4099"/>
    <cellStyle name="SAPBEXformats 4 2 3" xfId="4100"/>
    <cellStyle name="SAPBEXformats 4 2 4" xfId="4101"/>
    <cellStyle name="SAPBEXformats 4 3" xfId="4102"/>
    <cellStyle name="SAPBEXformats 4 4" xfId="4103"/>
    <cellStyle name="SAPBEXformats 4 5" xfId="4104"/>
    <cellStyle name="SAPBEXformats 40" xfId="4105"/>
    <cellStyle name="SAPBEXformats 41" xfId="4106"/>
    <cellStyle name="SAPBEXformats 42" xfId="4107"/>
    <cellStyle name="SAPBEXformats 43" xfId="4108"/>
    <cellStyle name="SAPBEXformats 44" xfId="4109"/>
    <cellStyle name="SAPBEXformats 5" xfId="4110"/>
    <cellStyle name="SAPBEXformats 5 2" xfId="4111"/>
    <cellStyle name="SAPBEXformats 5 2 2" xfId="4112"/>
    <cellStyle name="SAPBEXformats 5 2 3" xfId="4113"/>
    <cellStyle name="SAPBEXformats 5 2 4" xfId="4114"/>
    <cellStyle name="SAPBEXformats 5 3" xfId="4115"/>
    <cellStyle name="SAPBEXformats 5 4" xfId="4116"/>
    <cellStyle name="SAPBEXformats 5 5" xfId="4117"/>
    <cellStyle name="SAPBEXformats 6" xfId="4118"/>
    <cellStyle name="SAPBEXformats 6 2" xfId="4119"/>
    <cellStyle name="SAPBEXformats 6 3" xfId="4120"/>
    <cellStyle name="SAPBEXformats 6 4" xfId="4121"/>
    <cellStyle name="SAPBEXformats 7" xfId="4122"/>
    <cellStyle name="SAPBEXformats 8" xfId="4123"/>
    <cellStyle name="SAPBEXformats 9" xfId="4124"/>
    <cellStyle name="SAPBEXheaderItem" xfId="4125"/>
    <cellStyle name="SAPBEXheaderItem 2" xfId="4126"/>
    <cellStyle name="SAPBEXheaderItem 2 2" xfId="4127"/>
    <cellStyle name="SAPBEXheaderItem 2 2 2" xfId="4128"/>
    <cellStyle name="SAPBEXheaderItem 2 2 3" xfId="4129"/>
    <cellStyle name="SAPBEXheaderItem 2 2 4" xfId="4130"/>
    <cellStyle name="SAPBEXheaderItem 2 3" xfId="4131"/>
    <cellStyle name="SAPBEXheaderItem 2 4" xfId="4132"/>
    <cellStyle name="SAPBEXheaderItem 2 5" xfId="4133"/>
    <cellStyle name="SAPBEXheaderItem 3" xfId="4134"/>
    <cellStyle name="SAPBEXheaderItem 3 2" xfId="4135"/>
    <cellStyle name="SAPBEXheaderItem 3 2 2" xfId="4136"/>
    <cellStyle name="SAPBEXheaderItem 3 2 3" xfId="4137"/>
    <cellStyle name="SAPBEXheaderItem 3 2 4" xfId="4138"/>
    <cellStyle name="SAPBEXheaderItem 3 3" xfId="4139"/>
    <cellStyle name="SAPBEXheaderItem 3 4" xfId="4140"/>
    <cellStyle name="SAPBEXheaderItem 3 5" xfId="4141"/>
    <cellStyle name="SAPBEXheaderItem 4" xfId="4142"/>
    <cellStyle name="SAPBEXheaderItem 4 2" xfId="4143"/>
    <cellStyle name="SAPBEXheaderItem 4 2 2" xfId="4144"/>
    <cellStyle name="SAPBEXheaderItem 4 2 3" xfId="4145"/>
    <cellStyle name="SAPBEXheaderItem 4 2 4" xfId="4146"/>
    <cellStyle name="SAPBEXheaderItem 4 3" xfId="4147"/>
    <cellStyle name="SAPBEXheaderItem 4 4" xfId="4148"/>
    <cellStyle name="SAPBEXheaderItem 4 5" xfId="4149"/>
    <cellStyle name="SAPBEXheaderItem 5" xfId="4150"/>
    <cellStyle name="SAPBEXheaderItem 5 2" xfId="4151"/>
    <cellStyle name="SAPBEXheaderItem 5 2 2" xfId="4152"/>
    <cellStyle name="SAPBEXheaderItem 5 2 3" xfId="4153"/>
    <cellStyle name="SAPBEXheaderItem 5 2 4" xfId="4154"/>
    <cellStyle name="SAPBEXheaderItem 5 3" xfId="4155"/>
    <cellStyle name="SAPBEXheaderItem 5 4" xfId="4156"/>
    <cellStyle name="SAPBEXheaderItem 5 5" xfId="4157"/>
    <cellStyle name="SAPBEXheaderItem 6" xfId="4158"/>
    <cellStyle name="SAPBEXheaderItem 6 2" xfId="4159"/>
    <cellStyle name="SAPBEXheaderItem 6 3" xfId="4160"/>
    <cellStyle name="SAPBEXheaderItem 6 4" xfId="4161"/>
    <cellStyle name="SAPBEXheaderItem 7" xfId="4162"/>
    <cellStyle name="SAPBEXheaderItem 8" xfId="4163"/>
    <cellStyle name="SAPBEXheaderItem 9" xfId="4164"/>
    <cellStyle name="SAPBEXheaderText" xfId="4165"/>
    <cellStyle name="SAPBEXheaderText 2" xfId="4166"/>
    <cellStyle name="SAPBEXheaderText 2 2" xfId="4167"/>
    <cellStyle name="SAPBEXheaderText 2 2 2" xfId="4168"/>
    <cellStyle name="SAPBEXheaderText 2 2 3" xfId="4169"/>
    <cellStyle name="SAPBEXheaderText 2 2 4" xfId="4170"/>
    <cellStyle name="SAPBEXheaderText 2 3" xfId="4171"/>
    <cellStyle name="SAPBEXheaderText 2 4" xfId="4172"/>
    <cellStyle name="SAPBEXheaderText 2 5" xfId="4173"/>
    <cellStyle name="SAPBEXheaderText 3" xfId="4174"/>
    <cellStyle name="SAPBEXheaderText 3 2" xfId="4175"/>
    <cellStyle name="SAPBEXheaderText 3 2 2" xfId="4176"/>
    <cellStyle name="SAPBEXheaderText 3 2 3" xfId="4177"/>
    <cellStyle name="SAPBEXheaderText 3 2 4" xfId="4178"/>
    <cellStyle name="SAPBEXheaderText 3 3" xfId="4179"/>
    <cellStyle name="SAPBEXheaderText 3 4" xfId="4180"/>
    <cellStyle name="SAPBEXheaderText 3 5" xfId="4181"/>
    <cellStyle name="SAPBEXheaderText 4" xfId="4182"/>
    <cellStyle name="SAPBEXheaderText 4 2" xfId="4183"/>
    <cellStyle name="SAPBEXheaderText 4 2 2" xfId="4184"/>
    <cellStyle name="SAPBEXheaderText 4 2 3" xfId="4185"/>
    <cellStyle name="SAPBEXheaderText 4 2 4" xfId="4186"/>
    <cellStyle name="SAPBEXheaderText 4 3" xfId="4187"/>
    <cellStyle name="SAPBEXheaderText 4 4" xfId="4188"/>
    <cellStyle name="SAPBEXheaderText 4 5" xfId="4189"/>
    <cellStyle name="SAPBEXheaderText 5" xfId="4190"/>
    <cellStyle name="SAPBEXheaderText 5 2" xfId="4191"/>
    <cellStyle name="SAPBEXheaderText 5 2 2" xfId="4192"/>
    <cellStyle name="SAPBEXheaderText 5 2 3" xfId="4193"/>
    <cellStyle name="SAPBEXheaderText 5 2 4" xfId="4194"/>
    <cellStyle name="SAPBEXheaderText 5 3" xfId="4195"/>
    <cellStyle name="SAPBEXheaderText 5 4" xfId="4196"/>
    <cellStyle name="SAPBEXheaderText 5 5" xfId="4197"/>
    <cellStyle name="SAPBEXheaderText 6" xfId="4198"/>
    <cellStyle name="SAPBEXheaderText 6 2" xfId="4199"/>
    <cellStyle name="SAPBEXheaderText 6 3" xfId="4200"/>
    <cellStyle name="SAPBEXheaderText 6 4" xfId="4201"/>
    <cellStyle name="SAPBEXheaderText 7" xfId="4202"/>
    <cellStyle name="SAPBEXheaderText 8" xfId="4203"/>
    <cellStyle name="SAPBEXheaderText 9" xfId="4204"/>
    <cellStyle name="SAPBEXHLevel0" xfId="4205"/>
    <cellStyle name="SAPBEXHLevel0 10" xfId="4206"/>
    <cellStyle name="SAPBEXHLevel0 11" xfId="4207"/>
    <cellStyle name="SAPBEXHLevel0 12" xfId="4208"/>
    <cellStyle name="SAPBEXHLevel0 13" xfId="4209"/>
    <cellStyle name="SAPBEXHLevel0 14" xfId="4210"/>
    <cellStyle name="SAPBEXHLevel0 15" xfId="4211"/>
    <cellStyle name="SAPBEXHLevel0 16" xfId="4212"/>
    <cellStyle name="SAPBEXHLevel0 17" xfId="4213"/>
    <cellStyle name="SAPBEXHLevel0 18" xfId="4214"/>
    <cellStyle name="SAPBEXHLevel0 19" xfId="4215"/>
    <cellStyle name="SAPBEXHLevel0 2" xfId="4216"/>
    <cellStyle name="SAPBEXHLevel0 2 2" xfId="4217"/>
    <cellStyle name="SAPBEXHLevel0 2 2 2" xfId="4218"/>
    <cellStyle name="SAPBEXHLevel0 2 2 3" xfId="4219"/>
    <cellStyle name="SAPBEXHLevel0 2 2 4" xfId="4220"/>
    <cellStyle name="SAPBEXHLevel0 2 3" xfId="4221"/>
    <cellStyle name="SAPBEXHLevel0 2 4" xfId="4222"/>
    <cellStyle name="SAPBEXHLevel0 2 5" xfId="4223"/>
    <cellStyle name="SAPBEXHLevel0 20" xfId="4224"/>
    <cellStyle name="SAPBEXHLevel0 21" xfId="4225"/>
    <cellStyle name="SAPBEXHLevel0 22" xfId="4226"/>
    <cellStyle name="SAPBEXHLevel0 23" xfId="4227"/>
    <cellStyle name="SAPBEXHLevel0 24" xfId="4228"/>
    <cellStyle name="SAPBEXHLevel0 25" xfId="4229"/>
    <cellStyle name="SAPBEXHLevel0 26" xfId="4230"/>
    <cellStyle name="SAPBEXHLevel0 27" xfId="4231"/>
    <cellStyle name="SAPBEXHLevel0 28" xfId="4232"/>
    <cellStyle name="SAPBEXHLevel0 29" xfId="4233"/>
    <cellStyle name="SAPBEXHLevel0 3" xfId="4234"/>
    <cellStyle name="SAPBEXHLevel0 3 2" xfId="4235"/>
    <cellStyle name="SAPBEXHLevel0 3 2 2" xfId="4236"/>
    <cellStyle name="SAPBEXHLevel0 3 2 3" xfId="4237"/>
    <cellStyle name="SAPBEXHLevel0 3 2 4" xfId="4238"/>
    <cellStyle name="SAPBEXHLevel0 3 3" xfId="4239"/>
    <cellStyle name="SAPBEXHLevel0 3 4" xfId="4240"/>
    <cellStyle name="SAPBEXHLevel0 3 5" xfId="4241"/>
    <cellStyle name="SAPBEXHLevel0 30" xfId="4242"/>
    <cellStyle name="SAPBEXHLevel0 31" xfId="4243"/>
    <cellStyle name="SAPBEXHLevel0 32" xfId="4244"/>
    <cellStyle name="SAPBEXHLevel0 33" xfId="4245"/>
    <cellStyle name="SAPBEXHLevel0 34" xfId="4246"/>
    <cellStyle name="SAPBEXHLevel0 35" xfId="4247"/>
    <cellStyle name="SAPBEXHLevel0 36" xfId="4248"/>
    <cellStyle name="SAPBEXHLevel0 37" xfId="4249"/>
    <cellStyle name="SAPBEXHLevel0 38" xfId="4250"/>
    <cellStyle name="SAPBEXHLevel0 39" xfId="4251"/>
    <cellStyle name="SAPBEXHLevel0 4" xfId="4252"/>
    <cellStyle name="SAPBEXHLevel0 4 2" xfId="4253"/>
    <cellStyle name="SAPBEXHLevel0 4 2 2" xfId="4254"/>
    <cellStyle name="SAPBEXHLevel0 4 2 3" xfId="4255"/>
    <cellStyle name="SAPBEXHLevel0 4 2 4" xfId="4256"/>
    <cellStyle name="SAPBEXHLevel0 4 3" xfId="4257"/>
    <cellStyle name="SAPBEXHLevel0 4 4" xfId="4258"/>
    <cellStyle name="SAPBEXHLevel0 4 5" xfId="4259"/>
    <cellStyle name="SAPBEXHLevel0 40" xfId="4260"/>
    <cellStyle name="SAPBEXHLevel0 41" xfId="4261"/>
    <cellStyle name="SAPBEXHLevel0 42" xfId="4262"/>
    <cellStyle name="SAPBEXHLevel0 43" xfId="4263"/>
    <cellStyle name="SAPBEXHLevel0 44" xfId="4264"/>
    <cellStyle name="SAPBEXHLevel0 5" xfId="4265"/>
    <cellStyle name="SAPBEXHLevel0 5 2" xfId="4266"/>
    <cellStyle name="SAPBEXHLevel0 5 2 2" xfId="4267"/>
    <cellStyle name="SAPBEXHLevel0 5 2 3" xfId="4268"/>
    <cellStyle name="SAPBEXHLevel0 5 2 4" xfId="4269"/>
    <cellStyle name="SAPBEXHLevel0 5 3" xfId="4270"/>
    <cellStyle name="SAPBEXHLevel0 5 4" xfId="4271"/>
    <cellStyle name="SAPBEXHLevel0 5 5" xfId="4272"/>
    <cellStyle name="SAPBEXHLevel0 6" xfId="4273"/>
    <cellStyle name="SAPBEXHLevel0 6 2" xfId="4274"/>
    <cellStyle name="SAPBEXHLevel0 6 3" xfId="4275"/>
    <cellStyle name="SAPBEXHLevel0 6 4" xfId="4276"/>
    <cellStyle name="SAPBEXHLevel0 7" xfId="4277"/>
    <cellStyle name="SAPBEXHLevel0 8" xfId="4278"/>
    <cellStyle name="SAPBEXHLevel0 9" xfId="4279"/>
    <cellStyle name="SAPBEXHLevel0X" xfId="4280"/>
    <cellStyle name="SAPBEXHLevel0X 10" xfId="4281"/>
    <cellStyle name="SAPBEXHLevel0X 11" xfId="4282"/>
    <cellStyle name="SAPBEXHLevel0X 12" xfId="4283"/>
    <cellStyle name="SAPBEXHLevel0X 13" xfId="4284"/>
    <cellStyle name="SAPBEXHLevel0X 14" xfId="4285"/>
    <cellStyle name="SAPBEXHLevel0X 15" xfId="4286"/>
    <cellStyle name="SAPBEXHLevel0X 16" xfId="4287"/>
    <cellStyle name="SAPBEXHLevel0X 17" xfId="4288"/>
    <cellStyle name="SAPBEXHLevel0X 18" xfId="4289"/>
    <cellStyle name="SAPBEXHLevel0X 19" xfId="4290"/>
    <cellStyle name="SAPBEXHLevel0X 2" xfId="4291"/>
    <cellStyle name="SAPBEXHLevel0X 2 2" xfId="4292"/>
    <cellStyle name="SAPBEXHLevel0X 2 2 2" xfId="4293"/>
    <cellStyle name="SAPBEXHLevel0X 2 2 3" xfId="4294"/>
    <cellStyle name="SAPBEXHLevel0X 2 2 4" xfId="4295"/>
    <cellStyle name="SAPBEXHLevel0X 2 3" xfId="4296"/>
    <cellStyle name="SAPBEXHLevel0X 2 4" xfId="4297"/>
    <cellStyle name="SAPBEXHLevel0X 2 5" xfId="4298"/>
    <cellStyle name="SAPBEXHLevel0X 20" xfId="4299"/>
    <cellStyle name="SAPBEXHLevel0X 21" xfId="4300"/>
    <cellStyle name="SAPBEXHLevel0X 22" xfId="4301"/>
    <cellStyle name="SAPBEXHLevel0X 23" xfId="4302"/>
    <cellStyle name="SAPBEXHLevel0X 24" xfId="4303"/>
    <cellStyle name="SAPBEXHLevel0X 25" xfId="4304"/>
    <cellStyle name="SAPBEXHLevel0X 26" xfId="4305"/>
    <cellStyle name="SAPBEXHLevel0X 27" xfId="4306"/>
    <cellStyle name="SAPBEXHLevel0X 28" xfId="4307"/>
    <cellStyle name="SAPBEXHLevel0X 29" xfId="4308"/>
    <cellStyle name="SAPBEXHLevel0X 3" xfId="4309"/>
    <cellStyle name="SAPBEXHLevel0X 3 2" xfId="4310"/>
    <cellStyle name="SAPBEXHLevel0X 3 2 2" xfId="4311"/>
    <cellStyle name="SAPBEXHLevel0X 3 2 3" xfId="4312"/>
    <cellStyle name="SAPBEXHLevel0X 3 2 4" xfId="4313"/>
    <cellStyle name="SAPBEXHLevel0X 3 3" xfId="4314"/>
    <cellStyle name="SAPBEXHLevel0X 3 4" xfId="4315"/>
    <cellStyle name="SAPBEXHLevel0X 3 5" xfId="4316"/>
    <cellStyle name="SAPBEXHLevel0X 30" xfId="4317"/>
    <cellStyle name="SAPBEXHLevel0X 31" xfId="4318"/>
    <cellStyle name="SAPBEXHLevel0X 32" xfId="4319"/>
    <cellStyle name="SAPBEXHLevel0X 33" xfId="4320"/>
    <cellStyle name="SAPBEXHLevel0X 34" xfId="4321"/>
    <cellStyle name="SAPBEXHLevel0X 35" xfId="4322"/>
    <cellStyle name="SAPBEXHLevel0X 36" xfId="4323"/>
    <cellStyle name="SAPBEXHLevel0X 37" xfId="4324"/>
    <cellStyle name="SAPBEXHLevel0X 38" xfId="4325"/>
    <cellStyle name="SAPBEXHLevel0X 39" xfId="4326"/>
    <cellStyle name="SAPBEXHLevel0X 4" xfId="4327"/>
    <cellStyle name="SAPBEXHLevel0X 4 2" xfId="4328"/>
    <cellStyle name="SAPBEXHLevel0X 4 2 2" xfId="4329"/>
    <cellStyle name="SAPBEXHLevel0X 4 2 3" xfId="4330"/>
    <cellStyle name="SAPBEXHLevel0X 4 2 4" xfId="4331"/>
    <cellStyle name="SAPBEXHLevel0X 4 3" xfId="4332"/>
    <cellStyle name="SAPBEXHLevel0X 4 4" xfId="4333"/>
    <cellStyle name="SAPBEXHLevel0X 4 5" xfId="4334"/>
    <cellStyle name="SAPBEXHLevel0X 40" xfId="4335"/>
    <cellStyle name="SAPBEXHLevel0X 41" xfId="4336"/>
    <cellStyle name="SAPBEXHLevel0X 42" xfId="4337"/>
    <cellStyle name="SAPBEXHLevel0X 43" xfId="4338"/>
    <cellStyle name="SAPBEXHLevel0X 44" xfId="4339"/>
    <cellStyle name="SAPBEXHLevel0X 5" xfId="4340"/>
    <cellStyle name="SAPBEXHLevel0X 5 2" xfId="4341"/>
    <cellStyle name="SAPBEXHLevel0X 5 2 2" xfId="4342"/>
    <cellStyle name="SAPBEXHLevel0X 5 2 3" xfId="4343"/>
    <cellStyle name="SAPBEXHLevel0X 5 2 4" xfId="4344"/>
    <cellStyle name="SAPBEXHLevel0X 5 3" xfId="4345"/>
    <cellStyle name="SAPBEXHLevel0X 5 4" xfId="4346"/>
    <cellStyle name="SAPBEXHLevel0X 5 5" xfId="4347"/>
    <cellStyle name="SAPBEXHLevel0X 6" xfId="4348"/>
    <cellStyle name="SAPBEXHLevel0X 6 2" xfId="4349"/>
    <cellStyle name="SAPBEXHLevel0X 6 3" xfId="4350"/>
    <cellStyle name="SAPBEXHLevel0X 6 4" xfId="4351"/>
    <cellStyle name="SAPBEXHLevel0X 7" xfId="4352"/>
    <cellStyle name="SAPBEXHLevel0X 8" xfId="4353"/>
    <cellStyle name="SAPBEXHLevel0X 9" xfId="4354"/>
    <cellStyle name="SAPBEXHLevel1" xfId="4355"/>
    <cellStyle name="SAPBEXHLevel1 10" xfId="4356"/>
    <cellStyle name="SAPBEXHLevel1 11" xfId="4357"/>
    <cellStyle name="SAPBEXHLevel1 12" xfId="4358"/>
    <cellStyle name="SAPBEXHLevel1 13" xfId="4359"/>
    <cellStyle name="SAPBEXHLevel1 14" xfId="4360"/>
    <cellStyle name="SAPBEXHLevel1 15" xfId="4361"/>
    <cellStyle name="SAPBEXHLevel1 16" xfId="4362"/>
    <cellStyle name="SAPBEXHLevel1 17" xfId="4363"/>
    <cellStyle name="SAPBEXHLevel1 18" xfId="4364"/>
    <cellStyle name="SAPBEXHLevel1 19" xfId="4365"/>
    <cellStyle name="SAPBEXHLevel1 2" xfId="4366"/>
    <cellStyle name="SAPBEXHLevel1 2 2" xfId="4367"/>
    <cellStyle name="SAPBEXHLevel1 2 2 2" xfId="4368"/>
    <cellStyle name="SAPBEXHLevel1 2 2 3" xfId="4369"/>
    <cellStyle name="SAPBEXHLevel1 2 2 4" xfId="4370"/>
    <cellStyle name="SAPBEXHLevel1 2 3" xfId="4371"/>
    <cellStyle name="SAPBEXHLevel1 2 4" xfId="4372"/>
    <cellStyle name="SAPBEXHLevel1 2 5" xfId="4373"/>
    <cellStyle name="SAPBEXHLevel1 20" xfId="4374"/>
    <cellStyle name="SAPBEXHLevel1 21" xfId="4375"/>
    <cellStyle name="SAPBEXHLevel1 22" xfId="4376"/>
    <cellStyle name="SAPBEXHLevel1 23" xfId="4377"/>
    <cellStyle name="SAPBEXHLevel1 24" xfId="4378"/>
    <cellStyle name="SAPBEXHLevel1 25" xfId="4379"/>
    <cellStyle name="SAPBEXHLevel1 26" xfId="4380"/>
    <cellStyle name="SAPBEXHLevel1 27" xfId="4381"/>
    <cellStyle name="SAPBEXHLevel1 28" xfId="4382"/>
    <cellStyle name="SAPBEXHLevel1 29" xfId="4383"/>
    <cellStyle name="SAPBEXHLevel1 3" xfId="4384"/>
    <cellStyle name="SAPBEXHLevel1 3 2" xfId="4385"/>
    <cellStyle name="SAPBEXHLevel1 3 2 2" xfId="4386"/>
    <cellStyle name="SAPBEXHLevel1 3 2 3" xfId="4387"/>
    <cellStyle name="SAPBEXHLevel1 3 2 4" xfId="4388"/>
    <cellStyle name="SAPBEXHLevel1 3 3" xfId="4389"/>
    <cellStyle name="SAPBEXHLevel1 3 4" xfId="4390"/>
    <cellStyle name="SAPBEXHLevel1 3 5" xfId="4391"/>
    <cellStyle name="SAPBEXHLevel1 30" xfId="4392"/>
    <cellStyle name="SAPBEXHLevel1 31" xfId="4393"/>
    <cellStyle name="SAPBEXHLevel1 32" xfId="4394"/>
    <cellStyle name="SAPBEXHLevel1 33" xfId="4395"/>
    <cellStyle name="SAPBEXHLevel1 34" xfId="4396"/>
    <cellStyle name="SAPBEXHLevel1 35" xfId="4397"/>
    <cellStyle name="SAPBEXHLevel1 36" xfId="4398"/>
    <cellStyle name="SAPBEXHLevel1 37" xfId="4399"/>
    <cellStyle name="SAPBEXHLevel1 38" xfId="4400"/>
    <cellStyle name="SAPBEXHLevel1 39" xfId="4401"/>
    <cellStyle name="SAPBEXHLevel1 4" xfId="4402"/>
    <cellStyle name="SAPBEXHLevel1 4 2" xfId="4403"/>
    <cellStyle name="SAPBEXHLevel1 4 2 2" xfId="4404"/>
    <cellStyle name="SAPBEXHLevel1 4 2 3" xfId="4405"/>
    <cellStyle name="SAPBEXHLevel1 4 2 4" xfId="4406"/>
    <cellStyle name="SAPBEXHLevel1 4 3" xfId="4407"/>
    <cellStyle name="SAPBEXHLevel1 4 4" xfId="4408"/>
    <cellStyle name="SAPBEXHLevel1 4 5" xfId="4409"/>
    <cellStyle name="SAPBEXHLevel1 40" xfId="4410"/>
    <cellStyle name="SAPBEXHLevel1 41" xfId="4411"/>
    <cellStyle name="SAPBEXHLevel1 42" xfId="4412"/>
    <cellStyle name="SAPBEXHLevel1 43" xfId="4413"/>
    <cellStyle name="SAPBEXHLevel1 44" xfId="4414"/>
    <cellStyle name="SAPBEXHLevel1 5" xfId="4415"/>
    <cellStyle name="SAPBEXHLevel1 5 2" xfId="4416"/>
    <cellStyle name="SAPBEXHLevel1 5 2 2" xfId="4417"/>
    <cellStyle name="SAPBEXHLevel1 5 2 3" xfId="4418"/>
    <cellStyle name="SAPBEXHLevel1 5 2 4" xfId="4419"/>
    <cellStyle name="SAPBEXHLevel1 5 3" xfId="4420"/>
    <cellStyle name="SAPBEXHLevel1 5 4" xfId="4421"/>
    <cellStyle name="SAPBEXHLevel1 5 5" xfId="4422"/>
    <cellStyle name="SAPBEXHLevel1 6" xfId="4423"/>
    <cellStyle name="SAPBEXHLevel1 6 2" xfId="4424"/>
    <cellStyle name="SAPBEXHLevel1 6 3" xfId="4425"/>
    <cellStyle name="SAPBEXHLevel1 6 4" xfId="4426"/>
    <cellStyle name="SAPBEXHLevel1 7" xfId="4427"/>
    <cellStyle name="SAPBEXHLevel1 8" xfId="4428"/>
    <cellStyle name="SAPBEXHLevel1 9" xfId="4429"/>
    <cellStyle name="SAPBEXHLevel1X" xfId="4430"/>
    <cellStyle name="SAPBEXHLevel1X 10" xfId="4431"/>
    <cellStyle name="SAPBEXHLevel1X 11" xfId="4432"/>
    <cellStyle name="SAPBEXHLevel1X 12" xfId="4433"/>
    <cellStyle name="SAPBEXHLevel1X 13" xfId="4434"/>
    <cellStyle name="SAPBEXHLevel1X 14" xfId="4435"/>
    <cellStyle name="SAPBEXHLevel1X 15" xfId="4436"/>
    <cellStyle name="SAPBEXHLevel1X 16" xfId="4437"/>
    <cellStyle name="SAPBEXHLevel1X 17" xfId="4438"/>
    <cellStyle name="SAPBEXHLevel1X 18" xfId="4439"/>
    <cellStyle name="SAPBEXHLevel1X 19" xfId="4440"/>
    <cellStyle name="SAPBEXHLevel1X 2" xfId="4441"/>
    <cellStyle name="SAPBEXHLevel1X 2 2" xfId="4442"/>
    <cellStyle name="SAPBEXHLevel1X 2 2 2" xfId="4443"/>
    <cellStyle name="SAPBEXHLevel1X 2 2 3" xfId="4444"/>
    <cellStyle name="SAPBEXHLevel1X 2 2 4" xfId="4445"/>
    <cellStyle name="SAPBEXHLevel1X 2 3" xfId="4446"/>
    <cellStyle name="SAPBEXHLevel1X 2 4" xfId="4447"/>
    <cellStyle name="SAPBEXHLevel1X 2 5" xfId="4448"/>
    <cellStyle name="SAPBEXHLevel1X 20" xfId="4449"/>
    <cellStyle name="SAPBEXHLevel1X 21" xfId="4450"/>
    <cellStyle name="SAPBEXHLevel1X 22" xfId="4451"/>
    <cellStyle name="SAPBEXHLevel1X 23" xfId="4452"/>
    <cellStyle name="SAPBEXHLevel1X 24" xfId="4453"/>
    <cellStyle name="SAPBEXHLevel1X 25" xfId="4454"/>
    <cellStyle name="SAPBEXHLevel1X 26" xfId="4455"/>
    <cellStyle name="SAPBEXHLevel1X 27" xfId="4456"/>
    <cellStyle name="SAPBEXHLevel1X 28" xfId="4457"/>
    <cellStyle name="SAPBEXHLevel1X 29" xfId="4458"/>
    <cellStyle name="SAPBEXHLevel1X 3" xfId="4459"/>
    <cellStyle name="SAPBEXHLevel1X 3 2" xfId="4460"/>
    <cellStyle name="SAPBEXHLevel1X 3 2 2" xfId="4461"/>
    <cellStyle name="SAPBEXHLevel1X 3 2 3" xfId="4462"/>
    <cellStyle name="SAPBEXHLevel1X 3 2 4" xfId="4463"/>
    <cellStyle name="SAPBEXHLevel1X 3 3" xfId="4464"/>
    <cellStyle name="SAPBEXHLevel1X 3 4" xfId="4465"/>
    <cellStyle name="SAPBEXHLevel1X 3 5" xfId="4466"/>
    <cellStyle name="SAPBEXHLevel1X 30" xfId="4467"/>
    <cellStyle name="SAPBEXHLevel1X 31" xfId="4468"/>
    <cellStyle name="SAPBEXHLevel1X 32" xfId="4469"/>
    <cellStyle name="SAPBEXHLevel1X 33" xfId="4470"/>
    <cellStyle name="SAPBEXHLevel1X 34" xfId="4471"/>
    <cellStyle name="SAPBEXHLevel1X 35" xfId="4472"/>
    <cellStyle name="SAPBEXHLevel1X 36" xfId="4473"/>
    <cellStyle name="SAPBEXHLevel1X 37" xfId="4474"/>
    <cellStyle name="SAPBEXHLevel1X 38" xfId="4475"/>
    <cellStyle name="SAPBEXHLevel1X 39" xfId="4476"/>
    <cellStyle name="SAPBEXHLevel1X 4" xfId="4477"/>
    <cellStyle name="SAPBEXHLevel1X 4 2" xfId="4478"/>
    <cellStyle name="SAPBEXHLevel1X 4 2 2" xfId="4479"/>
    <cellStyle name="SAPBEXHLevel1X 4 2 3" xfId="4480"/>
    <cellStyle name="SAPBEXHLevel1X 4 2 4" xfId="4481"/>
    <cellStyle name="SAPBEXHLevel1X 4 3" xfId="4482"/>
    <cellStyle name="SAPBEXHLevel1X 4 4" xfId="4483"/>
    <cellStyle name="SAPBEXHLevel1X 4 5" xfId="4484"/>
    <cellStyle name="SAPBEXHLevel1X 40" xfId="4485"/>
    <cellStyle name="SAPBEXHLevel1X 41" xfId="4486"/>
    <cellStyle name="SAPBEXHLevel1X 42" xfId="4487"/>
    <cellStyle name="SAPBEXHLevel1X 43" xfId="4488"/>
    <cellStyle name="SAPBEXHLevel1X 44" xfId="4489"/>
    <cellStyle name="SAPBEXHLevel1X 5" xfId="4490"/>
    <cellStyle name="SAPBEXHLevel1X 5 2" xfId="4491"/>
    <cellStyle name="SAPBEXHLevel1X 5 2 2" xfId="4492"/>
    <cellStyle name="SAPBEXHLevel1X 5 2 3" xfId="4493"/>
    <cellStyle name="SAPBEXHLevel1X 5 2 4" xfId="4494"/>
    <cellStyle name="SAPBEXHLevel1X 5 3" xfId="4495"/>
    <cellStyle name="SAPBEXHLevel1X 5 4" xfId="4496"/>
    <cellStyle name="SAPBEXHLevel1X 5 5" xfId="4497"/>
    <cellStyle name="SAPBEXHLevel1X 6" xfId="4498"/>
    <cellStyle name="SAPBEXHLevel1X 6 2" xfId="4499"/>
    <cellStyle name="SAPBEXHLevel1X 6 3" xfId="4500"/>
    <cellStyle name="SAPBEXHLevel1X 6 4" xfId="4501"/>
    <cellStyle name="SAPBEXHLevel1X 7" xfId="4502"/>
    <cellStyle name="SAPBEXHLevel1X 8" xfId="4503"/>
    <cellStyle name="SAPBEXHLevel1X 9" xfId="4504"/>
    <cellStyle name="SAPBEXHLevel2" xfId="4505"/>
    <cellStyle name="SAPBEXHLevel2 10" xfId="4506"/>
    <cellStyle name="SAPBEXHLevel2 11" xfId="4507"/>
    <cellStyle name="SAPBEXHLevel2 12" xfId="4508"/>
    <cellStyle name="SAPBEXHLevel2 13" xfId="4509"/>
    <cellStyle name="SAPBEXHLevel2 14" xfId="4510"/>
    <cellStyle name="SAPBEXHLevel2 15" xfId="4511"/>
    <cellStyle name="SAPBEXHLevel2 16" xfId="4512"/>
    <cellStyle name="SAPBEXHLevel2 17" xfId="4513"/>
    <cellStyle name="SAPBEXHLevel2 18" xfId="4514"/>
    <cellStyle name="SAPBEXHLevel2 19" xfId="4515"/>
    <cellStyle name="SAPBEXHLevel2 2" xfId="4516"/>
    <cellStyle name="SAPBEXHLevel2 2 2" xfId="4517"/>
    <cellStyle name="SAPBEXHLevel2 2 2 2" xfId="4518"/>
    <cellStyle name="SAPBEXHLevel2 2 2 3" xfId="4519"/>
    <cellStyle name="SAPBEXHLevel2 2 2 4" xfId="4520"/>
    <cellStyle name="SAPBEXHLevel2 2 3" xfId="4521"/>
    <cellStyle name="SAPBEXHLevel2 2 4" xfId="4522"/>
    <cellStyle name="SAPBEXHLevel2 2 5" xfId="4523"/>
    <cellStyle name="SAPBEXHLevel2 20" xfId="4524"/>
    <cellStyle name="SAPBEXHLevel2 21" xfId="4525"/>
    <cellStyle name="SAPBEXHLevel2 22" xfId="4526"/>
    <cellStyle name="SAPBEXHLevel2 23" xfId="4527"/>
    <cellStyle name="SAPBEXHLevel2 24" xfId="4528"/>
    <cellStyle name="SAPBEXHLevel2 25" xfId="4529"/>
    <cellStyle name="SAPBEXHLevel2 26" xfId="4530"/>
    <cellStyle name="SAPBEXHLevel2 27" xfId="4531"/>
    <cellStyle name="SAPBEXHLevel2 28" xfId="4532"/>
    <cellStyle name="SAPBEXHLevel2 29" xfId="4533"/>
    <cellStyle name="SAPBEXHLevel2 3" xfId="4534"/>
    <cellStyle name="SAPBEXHLevel2 3 2" xfId="4535"/>
    <cellStyle name="SAPBEXHLevel2 3 2 2" xfId="4536"/>
    <cellStyle name="SAPBEXHLevel2 3 2 3" xfId="4537"/>
    <cellStyle name="SAPBEXHLevel2 3 2 4" xfId="4538"/>
    <cellStyle name="SAPBEXHLevel2 3 3" xfId="4539"/>
    <cellStyle name="SAPBEXHLevel2 3 4" xfId="4540"/>
    <cellStyle name="SAPBEXHLevel2 3 5" xfId="4541"/>
    <cellStyle name="SAPBEXHLevel2 30" xfId="4542"/>
    <cellStyle name="SAPBEXHLevel2 31" xfId="4543"/>
    <cellStyle name="SAPBEXHLevel2 32" xfId="4544"/>
    <cellStyle name="SAPBEXHLevel2 33" xfId="4545"/>
    <cellStyle name="SAPBEXHLevel2 34" xfId="4546"/>
    <cellStyle name="SAPBEXHLevel2 35" xfId="4547"/>
    <cellStyle name="SAPBEXHLevel2 36" xfId="4548"/>
    <cellStyle name="SAPBEXHLevel2 37" xfId="4549"/>
    <cellStyle name="SAPBEXHLevel2 38" xfId="4550"/>
    <cellStyle name="SAPBEXHLevel2 39" xfId="4551"/>
    <cellStyle name="SAPBEXHLevel2 4" xfId="4552"/>
    <cellStyle name="SAPBEXHLevel2 4 2" xfId="4553"/>
    <cellStyle name="SAPBEXHLevel2 4 2 2" xfId="4554"/>
    <cellStyle name="SAPBEXHLevel2 4 2 3" xfId="4555"/>
    <cellStyle name="SAPBEXHLevel2 4 2 4" xfId="4556"/>
    <cellStyle name="SAPBEXHLevel2 4 3" xfId="4557"/>
    <cellStyle name="SAPBEXHLevel2 4 4" xfId="4558"/>
    <cellStyle name="SAPBEXHLevel2 4 5" xfId="4559"/>
    <cellStyle name="SAPBEXHLevel2 40" xfId="4560"/>
    <cellStyle name="SAPBEXHLevel2 41" xfId="4561"/>
    <cellStyle name="SAPBEXHLevel2 42" xfId="4562"/>
    <cellStyle name="SAPBEXHLevel2 43" xfId="4563"/>
    <cellStyle name="SAPBEXHLevel2 44" xfId="4564"/>
    <cellStyle name="SAPBEXHLevel2 5" xfId="4565"/>
    <cellStyle name="SAPBEXHLevel2 5 2" xfId="4566"/>
    <cellStyle name="SAPBEXHLevel2 5 2 2" xfId="4567"/>
    <cellStyle name="SAPBEXHLevel2 5 2 3" xfId="4568"/>
    <cellStyle name="SAPBEXHLevel2 5 2 4" xfId="4569"/>
    <cellStyle name="SAPBEXHLevel2 5 3" xfId="4570"/>
    <cellStyle name="SAPBEXHLevel2 5 4" xfId="4571"/>
    <cellStyle name="SAPBEXHLevel2 5 5" xfId="4572"/>
    <cellStyle name="SAPBEXHLevel2 6" xfId="4573"/>
    <cellStyle name="SAPBEXHLevel2 6 2" xfId="4574"/>
    <cellStyle name="SAPBEXHLevel2 6 3" xfId="4575"/>
    <cellStyle name="SAPBEXHLevel2 6 4" xfId="4576"/>
    <cellStyle name="SAPBEXHLevel2 7" xfId="4577"/>
    <cellStyle name="SAPBEXHLevel2 8" xfId="4578"/>
    <cellStyle name="SAPBEXHLevel2 9" xfId="4579"/>
    <cellStyle name="SAPBEXHLevel2X" xfId="4580"/>
    <cellStyle name="SAPBEXHLevel2X 10" xfId="4581"/>
    <cellStyle name="SAPBEXHLevel2X 11" xfId="4582"/>
    <cellStyle name="SAPBEXHLevel2X 12" xfId="4583"/>
    <cellStyle name="SAPBEXHLevel2X 13" xfId="4584"/>
    <cellStyle name="SAPBEXHLevel2X 14" xfId="4585"/>
    <cellStyle name="SAPBEXHLevel2X 15" xfId="4586"/>
    <cellStyle name="SAPBEXHLevel2X 16" xfId="4587"/>
    <cellStyle name="SAPBEXHLevel2X 17" xfId="4588"/>
    <cellStyle name="SAPBEXHLevel2X 18" xfId="4589"/>
    <cellStyle name="SAPBEXHLevel2X 19" xfId="4590"/>
    <cellStyle name="SAPBEXHLevel2X 2" xfId="4591"/>
    <cellStyle name="SAPBEXHLevel2X 2 2" xfId="4592"/>
    <cellStyle name="SAPBEXHLevel2X 2 2 2" xfId="4593"/>
    <cellStyle name="SAPBEXHLevel2X 2 2 3" xfId="4594"/>
    <cellStyle name="SAPBEXHLevel2X 2 2 4" xfId="4595"/>
    <cellStyle name="SAPBEXHLevel2X 2 3" xfId="4596"/>
    <cellStyle name="SAPBEXHLevel2X 2 4" xfId="4597"/>
    <cellStyle name="SAPBEXHLevel2X 2 5" xfId="4598"/>
    <cellStyle name="SAPBEXHLevel2X 20" xfId="4599"/>
    <cellStyle name="SAPBEXHLevel2X 21" xfId="4600"/>
    <cellStyle name="SAPBEXHLevel2X 22" xfId="4601"/>
    <cellStyle name="SAPBEXHLevel2X 23" xfId="4602"/>
    <cellStyle name="SAPBEXHLevel2X 24" xfId="4603"/>
    <cellStyle name="SAPBEXHLevel2X 25" xfId="4604"/>
    <cellStyle name="SAPBEXHLevel2X 26" xfId="4605"/>
    <cellStyle name="SAPBEXHLevel2X 27" xfId="4606"/>
    <cellStyle name="SAPBEXHLevel2X 28" xfId="4607"/>
    <cellStyle name="SAPBEXHLevel2X 29" xfId="4608"/>
    <cellStyle name="SAPBEXHLevel2X 3" xfId="4609"/>
    <cellStyle name="SAPBEXHLevel2X 3 2" xfId="4610"/>
    <cellStyle name="SAPBEXHLevel2X 3 2 2" xfId="4611"/>
    <cellStyle name="SAPBEXHLevel2X 3 2 3" xfId="4612"/>
    <cellStyle name="SAPBEXHLevel2X 3 2 4" xfId="4613"/>
    <cellStyle name="SAPBEXHLevel2X 3 3" xfId="4614"/>
    <cellStyle name="SAPBEXHLevel2X 3 4" xfId="4615"/>
    <cellStyle name="SAPBEXHLevel2X 3 5" xfId="4616"/>
    <cellStyle name="SAPBEXHLevel2X 30" xfId="4617"/>
    <cellStyle name="SAPBEXHLevel2X 31" xfId="4618"/>
    <cellStyle name="SAPBEXHLevel2X 32" xfId="4619"/>
    <cellStyle name="SAPBEXHLevel2X 33" xfId="4620"/>
    <cellStyle name="SAPBEXHLevel2X 34" xfId="4621"/>
    <cellStyle name="SAPBEXHLevel2X 35" xfId="4622"/>
    <cellStyle name="SAPBEXHLevel2X 36" xfId="4623"/>
    <cellStyle name="SAPBEXHLevel2X 37" xfId="4624"/>
    <cellStyle name="SAPBEXHLevel2X 38" xfId="4625"/>
    <cellStyle name="SAPBEXHLevel2X 39" xfId="4626"/>
    <cellStyle name="SAPBEXHLevel2X 4" xfId="4627"/>
    <cellStyle name="SAPBEXHLevel2X 4 2" xfId="4628"/>
    <cellStyle name="SAPBEXHLevel2X 4 2 2" xfId="4629"/>
    <cellStyle name="SAPBEXHLevel2X 4 2 3" xfId="4630"/>
    <cellStyle name="SAPBEXHLevel2X 4 2 4" xfId="4631"/>
    <cellStyle name="SAPBEXHLevel2X 4 3" xfId="4632"/>
    <cellStyle name="SAPBEXHLevel2X 4 4" xfId="4633"/>
    <cellStyle name="SAPBEXHLevel2X 4 5" xfId="4634"/>
    <cellStyle name="SAPBEXHLevel2X 40" xfId="4635"/>
    <cellStyle name="SAPBEXHLevel2X 41" xfId="4636"/>
    <cellStyle name="SAPBEXHLevel2X 42" xfId="4637"/>
    <cellStyle name="SAPBEXHLevel2X 43" xfId="4638"/>
    <cellStyle name="SAPBEXHLevel2X 44" xfId="4639"/>
    <cellStyle name="SAPBEXHLevel2X 5" xfId="4640"/>
    <cellStyle name="SAPBEXHLevel2X 5 2" xfId="4641"/>
    <cellStyle name="SAPBEXHLevel2X 5 2 2" xfId="4642"/>
    <cellStyle name="SAPBEXHLevel2X 5 2 3" xfId="4643"/>
    <cellStyle name="SAPBEXHLevel2X 5 2 4" xfId="4644"/>
    <cellStyle name="SAPBEXHLevel2X 5 3" xfId="4645"/>
    <cellStyle name="SAPBEXHLevel2X 5 4" xfId="4646"/>
    <cellStyle name="SAPBEXHLevel2X 5 5" xfId="4647"/>
    <cellStyle name="SAPBEXHLevel2X 6" xfId="4648"/>
    <cellStyle name="SAPBEXHLevel2X 6 2" xfId="4649"/>
    <cellStyle name="SAPBEXHLevel2X 6 3" xfId="4650"/>
    <cellStyle name="SAPBEXHLevel2X 6 4" xfId="4651"/>
    <cellStyle name="SAPBEXHLevel2X 7" xfId="4652"/>
    <cellStyle name="SAPBEXHLevel2X 8" xfId="4653"/>
    <cellStyle name="SAPBEXHLevel2X 9" xfId="4654"/>
    <cellStyle name="SAPBEXHLevel3" xfId="4655"/>
    <cellStyle name="SAPBEXHLevel3 10" xfId="4656"/>
    <cellStyle name="SAPBEXHLevel3 11" xfId="4657"/>
    <cellStyle name="SAPBEXHLevel3 12" xfId="4658"/>
    <cellStyle name="SAPBEXHLevel3 13" xfId="4659"/>
    <cellStyle name="SAPBEXHLevel3 14" xfId="4660"/>
    <cellStyle name="SAPBEXHLevel3 15" xfId="4661"/>
    <cellStyle name="SAPBEXHLevel3 16" xfId="4662"/>
    <cellStyle name="SAPBEXHLevel3 17" xfId="4663"/>
    <cellStyle name="SAPBEXHLevel3 18" xfId="4664"/>
    <cellStyle name="SAPBEXHLevel3 19" xfId="4665"/>
    <cellStyle name="SAPBEXHLevel3 2" xfId="4666"/>
    <cellStyle name="SAPBEXHLevel3 2 2" xfId="4667"/>
    <cellStyle name="SAPBEXHLevel3 2 2 2" xfId="4668"/>
    <cellStyle name="SAPBEXHLevel3 2 2 3" xfId="4669"/>
    <cellStyle name="SAPBEXHLevel3 2 2 4" xfId="4670"/>
    <cellStyle name="SAPBEXHLevel3 2 3" xfId="4671"/>
    <cellStyle name="SAPBEXHLevel3 2 4" xfId="4672"/>
    <cellStyle name="SAPBEXHLevel3 2 5" xfId="4673"/>
    <cellStyle name="SAPBEXHLevel3 20" xfId="4674"/>
    <cellStyle name="SAPBEXHLevel3 21" xfId="4675"/>
    <cellStyle name="SAPBEXHLevel3 22" xfId="4676"/>
    <cellStyle name="SAPBEXHLevel3 23" xfId="4677"/>
    <cellStyle name="SAPBEXHLevel3 24" xfId="4678"/>
    <cellStyle name="SAPBEXHLevel3 25" xfId="4679"/>
    <cellStyle name="SAPBEXHLevel3 26" xfId="4680"/>
    <cellStyle name="SAPBEXHLevel3 27" xfId="4681"/>
    <cellStyle name="SAPBEXHLevel3 28" xfId="4682"/>
    <cellStyle name="SAPBEXHLevel3 29" xfId="4683"/>
    <cellStyle name="SAPBEXHLevel3 3" xfId="4684"/>
    <cellStyle name="SAPBEXHLevel3 3 2" xfId="4685"/>
    <cellStyle name="SAPBEXHLevel3 3 2 2" xfId="4686"/>
    <cellStyle name="SAPBEXHLevel3 3 2 3" xfId="4687"/>
    <cellStyle name="SAPBEXHLevel3 3 2 4" xfId="4688"/>
    <cellStyle name="SAPBEXHLevel3 3 3" xfId="4689"/>
    <cellStyle name="SAPBEXHLevel3 3 4" xfId="4690"/>
    <cellStyle name="SAPBEXHLevel3 3 5" xfId="4691"/>
    <cellStyle name="SAPBEXHLevel3 30" xfId="4692"/>
    <cellStyle name="SAPBEXHLevel3 31" xfId="4693"/>
    <cellStyle name="SAPBEXHLevel3 32" xfId="4694"/>
    <cellStyle name="SAPBEXHLevel3 33" xfId="4695"/>
    <cellStyle name="SAPBEXHLevel3 34" xfId="4696"/>
    <cellStyle name="SAPBEXHLevel3 35" xfId="4697"/>
    <cellStyle name="SAPBEXHLevel3 36" xfId="4698"/>
    <cellStyle name="SAPBEXHLevel3 37" xfId="4699"/>
    <cellStyle name="SAPBEXHLevel3 38" xfId="4700"/>
    <cellStyle name="SAPBEXHLevel3 39" xfId="4701"/>
    <cellStyle name="SAPBEXHLevel3 4" xfId="4702"/>
    <cellStyle name="SAPBEXHLevel3 4 2" xfId="4703"/>
    <cellStyle name="SAPBEXHLevel3 4 2 2" xfId="4704"/>
    <cellStyle name="SAPBEXHLevel3 4 2 3" xfId="4705"/>
    <cellStyle name="SAPBEXHLevel3 4 2 4" xfId="4706"/>
    <cellStyle name="SAPBEXHLevel3 4 3" xfId="4707"/>
    <cellStyle name="SAPBEXHLevel3 4 4" xfId="4708"/>
    <cellStyle name="SAPBEXHLevel3 4 5" xfId="4709"/>
    <cellStyle name="SAPBEXHLevel3 40" xfId="4710"/>
    <cellStyle name="SAPBEXHLevel3 41" xfId="4711"/>
    <cellStyle name="SAPBEXHLevel3 42" xfId="4712"/>
    <cellStyle name="SAPBEXHLevel3 43" xfId="4713"/>
    <cellStyle name="SAPBEXHLevel3 44" xfId="4714"/>
    <cellStyle name="SAPBEXHLevel3 5" xfId="4715"/>
    <cellStyle name="SAPBEXHLevel3 5 2" xfId="4716"/>
    <cellStyle name="SAPBEXHLevel3 5 2 2" xfId="4717"/>
    <cellStyle name="SAPBEXHLevel3 5 2 3" xfId="4718"/>
    <cellStyle name="SAPBEXHLevel3 5 2 4" xfId="4719"/>
    <cellStyle name="SAPBEXHLevel3 5 3" xfId="4720"/>
    <cellStyle name="SAPBEXHLevel3 5 4" xfId="4721"/>
    <cellStyle name="SAPBEXHLevel3 5 5" xfId="4722"/>
    <cellStyle name="SAPBEXHLevel3 6" xfId="4723"/>
    <cellStyle name="SAPBEXHLevel3 6 2" xfId="4724"/>
    <cellStyle name="SAPBEXHLevel3 6 3" xfId="4725"/>
    <cellStyle name="SAPBEXHLevel3 6 4" xfId="4726"/>
    <cellStyle name="SAPBEXHLevel3 7" xfId="4727"/>
    <cellStyle name="SAPBEXHLevel3 8" xfId="4728"/>
    <cellStyle name="SAPBEXHLevel3 9" xfId="4729"/>
    <cellStyle name="SAPBEXHLevel3X" xfId="4730"/>
    <cellStyle name="SAPBEXHLevel3X 10" xfId="4731"/>
    <cellStyle name="SAPBEXHLevel3X 11" xfId="4732"/>
    <cellStyle name="SAPBEXHLevel3X 12" xfId="4733"/>
    <cellStyle name="SAPBEXHLevel3X 13" xfId="4734"/>
    <cellStyle name="SAPBEXHLevel3X 14" xfId="4735"/>
    <cellStyle name="SAPBEXHLevel3X 15" xfId="4736"/>
    <cellStyle name="SAPBEXHLevel3X 16" xfId="4737"/>
    <cellStyle name="SAPBEXHLevel3X 17" xfId="4738"/>
    <cellStyle name="SAPBEXHLevel3X 18" xfId="4739"/>
    <cellStyle name="SAPBEXHLevel3X 19" xfId="4740"/>
    <cellStyle name="SAPBEXHLevel3X 2" xfId="4741"/>
    <cellStyle name="SAPBEXHLevel3X 2 2" xfId="4742"/>
    <cellStyle name="SAPBEXHLevel3X 2 2 2" xfId="4743"/>
    <cellStyle name="SAPBEXHLevel3X 2 2 3" xfId="4744"/>
    <cellStyle name="SAPBEXHLevel3X 2 2 4" xfId="4745"/>
    <cellStyle name="SAPBEXHLevel3X 2 3" xfId="4746"/>
    <cellStyle name="SAPBEXHLevel3X 2 4" xfId="4747"/>
    <cellStyle name="SAPBEXHLevel3X 2 5" xfId="4748"/>
    <cellStyle name="SAPBEXHLevel3X 20" xfId="4749"/>
    <cellStyle name="SAPBEXHLevel3X 21" xfId="4750"/>
    <cellStyle name="SAPBEXHLevel3X 22" xfId="4751"/>
    <cellStyle name="SAPBEXHLevel3X 23" xfId="4752"/>
    <cellStyle name="SAPBEXHLevel3X 24" xfId="4753"/>
    <cellStyle name="SAPBEXHLevel3X 25" xfId="4754"/>
    <cellStyle name="SAPBEXHLevel3X 26" xfId="4755"/>
    <cellStyle name="SAPBEXHLevel3X 27" xfId="4756"/>
    <cellStyle name="SAPBEXHLevel3X 28" xfId="4757"/>
    <cellStyle name="SAPBEXHLevel3X 29" xfId="4758"/>
    <cellStyle name="SAPBEXHLevel3X 3" xfId="4759"/>
    <cellStyle name="SAPBEXHLevel3X 3 2" xfId="4760"/>
    <cellStyle name="SAPBEXHLevel3X 3 2 2" xfId="4761"/>
    <cellStyle name="SAPBEXHLevel3X 3 2 3" xfId="4762"/>
    <cellStyle name="SAPBEXHLevel3X 3 2 4" xfId="4763"/>
    <cellStyle name="SAPBEXHLevel3X 3 3" xfId="4764"/>
    <cellStyle name="SAPBEXHLevel3X 3 4" xfId="4765"/>
    <cellStyle name="SAPBEXHLevel3X 3 5" xfId="4766"/>
    <cellStyle name="SAPBEXHLevel3X 30" xfId="4767"/>
    <cellStyle name="SAPBEXHLevel3X 31" xfId="4768"/>
    <cellStyle name="SAPBEXHLevel3X 32" xfId="4769"/>
    <cellStyle name="SAPBEXHLevel3X 33" xfId="4770"/>
    <cellStyle name="SAPBEXHLevel3X 34" xfId="4771"/>
    <cellStyle name="SAPBEXHLevel3X 35" xfId="4772"/>
    <cellStyle name="SAPBEXHLevel3X 36" xfId="4773"/>
    <cellStyle name="SAPBEXHLevel3X 37" xfId="4774"/>
    <cellStyle name="SAPBEXHLevel3X 38" xfId="4775"/>
    <cellStyle name="SAPBEXHLevel3X 39" xfId="4776"/>
    <cellStyle name="SAPBEXHLevel3X 4" xfId="4777"/>
    <cellStyle name="SAPBEXHLevel3X 4 2" xfId="4778"/>
    <cellStyle name="SAPBEXHLevel3X 4 2 2" xfId="4779"/>
    <cellStyle name="SAPBEXHLevel3X 4 2 3" xfId="4780"/>
    <cellStyle name="SAPBEXHLevel3X 4 2 4" xfId="4781"/>
    <cellStyle name="SAPBEXHLevel3X 4 3" xfId="4782"/>
    <cellStyle name="SAPBEXHLevel3X 4 4" xfId="4783"/>
    <cellStyle name="SAPBEXHLevel3X 4 5" xfId="4784"/>
    <cellStyle name="SAPBEXHLevel3X 40" xfId="4785"/>
    <cellStyle name="SAPBEXHLevel3X 41" xfId="4786"/>
    <cellStyle name="SAPBEXHLevel3X 42" xfId="4787"/>
    <cellStyle name="SAPBEXHLevel3X 43" xfId="4788"/>
    <cellStyle name="SAPBEXHLevel3X 44" xfId="4789"/>
    <cellStyle name="SAPBEXHLevel3X 5" xfId="4790"/>
    <cellStyle name="SAPBEXHLevel3X 5 2" xfId="4791"/>
    <cellStyle name="SAPBEXHLevel3X 5 2 2" xfId="4792"/>
    <cellStyle name="SAPBEXHLevel3X 5 2 3" xfId="4793"/>
    <cellStyle name="SAPBEXHLevel3X 5 2 4" xfId="4794"/>
    <cellStyle name="SAPBEXHLevel3X 5 3" xfId="4795"/>
    <cellStyle name="SAPBEXHLevel3X 5 4" xfId="4796"/>
    <cellStyle name="SAPBEXHLevel3X 5 5" xfId="4797"/>
    <cellStyle name="SAPBEXHLevel3X 6" xfId="4798"/>
    <cellStyle name="SAPBEXHLevel3X 6 2" xfId="4799"/>
    <cellStyle name="SAPBEXHLevel3X 6 3" xfId="4800"/>
    <cellStyle name="SAPBEXHLevel3X 6 4" xfId="4801"/>
    <cellStyle name="SAPBEXHLevel3X 7" xfId="4802"/>
    <cellStyle name="SAPBEXHLevel3X 8" xfId="4803"/>
    <cellStyle name="SAPBEXHLevel3X 9" xfId="4804"/>
    <cellStyle name="SAPBEXinputData" xfId="4805"/>
    <cellStyle name="SAPBEXinputData 2" xfId="4806"/>
    <cellStyle name="SAPBEXinputData 3" xfId="4807"/>
    <cellStyle name="SAPBEXinputData 4" xfId="4808"/>
    <cellStyle name="SAPBEXItemHeader" xfId="4809"/>
    <cellStyle name="SAPBEXItemHeader 10" xfId="4810"/>
    <cellStyle name="SAPBEXItemHeader 11" xfId="4811"/>
    <cellStyle name="SAPBEXItemHeader 12" xfId="4812"/>
    <cellStyle name="SAPBEXItemHeader 13" xfId="4813"/>
    <cellStyle name="SAPBEXItemHeader 14" xfId="4814"/>
    <cellStyle name="SAPBEXItemHeader 15" xfId="4815"/>
    <cellStyle name="SAPBEXItemHeader 16" xfId="4816"/>
    <cellStyle name="SAPBEXItemHeader 17" xfId="4817"/>
    <cellStyle name="SAPBEXItemHeader 18" xfId="4818"/>
    <cellStyle name="SAPBEXItemHeader 19" xfId="4819"/>
    <cellStyle name="SAPBEXItemHeader 2" xfId="4820"/>
    <cellStyle name="SAPBEXItemHeader 20" xfId="4821"/>
    <cellStyle name="SAPBEXItemHeader 21" xfId="4822"/>
    <cellStyle name="SAPBEXItemHeader 22" xfId="4823"/>
    <cellStyle name="SAPBEXItemHeader 23" xfId="4824"/>
    <cellStyle name="SAPBEXItemHeader 24" xfId="4825"/>
    <cellStyle name="SAPBEXItemHeader 25" xfId="4826"/>
    <cellStyle name="SAPBEXItemHeader 26" xfId="4827"/>
    <cellStyle name="SAPBEXItemHeader 27" xfId="4828"/>
    <cellStyle name="SAPBEXItemHeader 28" xfId="4829"/>
    <cellStyle name="SAPBEXItemHeader 29" xfId="4830"/>
    <cellStyle name="SAPBEXItemHeader 3" xfId="4831"/>
    <cellStyle name="SAPBEXItemHeader 30" xfId="4832"/>
    <cellStyle name="SAPBEXItemHeader 31" xfId="4833"/>
    <cellStyle name="SAPBEXItemHeader 32" xfId="4834"/>
    <cellStyle name="SAPBEXItemHeader 33" xfId="4835"/>
    <cellStyle name="SAPBEXItemHeader 34" xfId="4836"/>
    <cellStyle name="SAPBEXItemHeader 35" xfId="4837"/>
    <cellStyle name="SAPBEXItemHeader 36" xfId="4838"/>
    <cellStyle name="SAPBEXItemHeader 37" xfId="4839"/>
    <cellStyle name="SAPBEXItemHeader 38" xfId="4840"/>
    <cellStyle name="SAPBEXItemHeader 39" xfId="4841"/>
    <cellStyle name="SAPBEXItemHeader 4" xfId="4842"/>
    <cellStyle name="SAPBEXItemHeader 40" xfId="4843"/>
    <cellStyle name="SAPBEXItemHeader 41" xfId="4844"/>
    <cellStyle name="SAPBEXItemHeader 42" xfId="4845"/>
    <cellStyle name="SAPBEXItemHeader 43" xfId="4846"/>
    <cellStyle name="SAPBEXItemHeader 44" xfId="4847"/>
    <cellStyle name="SAPBEXItemHeader 5" xfId="4848"/>
    <cellStyle name="SAPBEXItemHeader 6" xfId="4849"/>
    <cellStyle name="SAPBEXItemHeader 7" xfId="4850"/>
    <cellStyle name="SAPBEXItemHeader 8" xfId="4851"/>
    <cellStyle name="SAPBEXItemHeader 9" xfId="4852"/>
    <cellStyle name="SAPBEXresData" xfId="4853"/>
    <cellStyle name="SAPBEXresData 10" xfId="4854"/>
    <cellStyle name="SAPBEXresData 11" xfId="4855"/>
    <cellStyle name="SAPBEXresData 12" xfId="4856"/>
    <cellStyle name="SAPBEXresData 13" xfId="4857"/>
    <cellStyle name="SAPBEXresData 14" xfId="4858"/>
    <cellStyle name="SAPBEXresData 15" xfId="4859"/>
    <cellStyle name="SAPBEXresData 16" xfId="4860"/>
    <cellStyle name="SAPBEXresData 17" xfId="4861"/>
    <cellStyle name="SAPBEXresData 18" xfId="4862"/>
    <cellStyle name="SAPBEXresData 19" xfId="4863"/>
    <cellStyle name="SAPBEXresData 2" xfId="4864"/>
    <cellStyle name="SAPBEXresData 2 2" xfId="4865"/>
    <cellStyle name="SAPBEXresData 2 2 2" xfId="4866"/>
    <cellStyle name="SAPBEXresData 2 2 3" xfId="4867"/>
    <cellStyle name="SAPBEXresData 2 2 4" xfId="4868"/>
    <cellStyle name="SAPBEXresData 2 3" xfId="4869"/>
    <cellStyle name="SAPBEXresData 2 4" xfId="4870"/>
    <cellStyle name="SAPBEXresData 2 5" xfId="4871"/>
    <cellStyle name="SAPBEXresData 20" xfId="4872"/>
    <cellStyle name="SAPBEXresData 21" xfId="4873"/>
    <cellStyle name="SAPBEXresData 22" xfId="4874"/>
    <cellStyle name="SAPBEXresData 23" xfId="4875"/>
    <cellStyle name="SAPBEXresData 24" xfId="4876"/>
    <cellStyle name="SAPBEXresData 25" xfId="4877"/>
    <cellStyle name="SAPBEXresData 26" xfId="4878"/>
    <cellStyle name="SAPBEXresData 27" xfId="4879"/>
    <cellStyle name="SAPBEXresData 28" xfId="4880"/>
    <cellStyle name="SAPBEXresData 29" xfId="4881"/>
    <cellStyle name="SAPBEXresData 3" xfId="4882"/>
    <cellStyle name="SAPBEXresData 3 2" xfId="4883"/>
    <cellStyle name="SAPBEXresData 3 2 2" xfId="4884"/>
    <cellStyle name="SAPBEXresData 3 2 3" xfId="4885"/>
    <cellStyle name="SAPBEXresData 3 2 4" xfId="4886"/>
    <cellStyle name="SAPBEXresData 3 3" xfId="4887"/>
    <cellStyle name="SAPBEXresData 3 4" xfId="4888"/>
    <cellStyle name="SAPBEXresData 3 5" xfId="4889"/>
    <cellStyle name="SAPBEXresData 30" xfId="4890"/>
    <cellStyle name="SAPBEXresData 31" xfId="4891"/>
    <cellStyle name="SAPBEXresData 32" xfId="4892"/>
    <cellStyle name="SAPBEXresData 33" xfId="4893"/>
    <cellStyle name="SAPBEXresData 34" xfId="4894"/>
    <cellStyle name="SAPBEXresData 35" xfId="4895"/>
    <cellStyle name="SAPBEXresData 36" xfId="4896"/>
    <cellStyle name="SAPBEXresData 37" xfId="4897"/>
    <cellStyle name="SAPBEXresData 38" xfId="4898"/>
    <cellStyle name="SAPBEXresData 39" xfId="4899"/>
    <cellStyle name="SAPBEXresData 4" xfId="4900"/>
    <cellStyle name="SAPBEXresData 4 2" xfId="4901"/>
    <cellStyle name="SAPBEXresData 4 2 2" xfId="4902"/>
    <cellStyle name="SAPBEXresData 4 2 3" xfId="4903"/>
    <cellStyle name="SAPBEXresData 4 2 4" xfId="4904"/>
    <cellStyle name="SAPBEXresData 4 3" xfId="4905"/>
    <cellStyle name="SAPBEXresData 4 4" xfId="4906"/>
    <cellStyle name="SAPBEXresData 4 5" xfId="4907"/>
    <cellStyle name="SAPBEXresData 40" xfId="4908"/>
    <cellStyle name="SAPBEXresData 41" xfId="4909"/>
    <cellStyle name="SAPBEXresData 42" xfId="4910"/>
    <cellStyle name="SAPBEXresData 43" xfId="4911"/>
    <cellStyle name="SAPBEXresData 44" xfId="4912"/>
    <cellStyle name="SAPBEXresData 5" xfId="4913"/>
    <cellStyle name="SAPBEXresData 5 2" xfId="4914"/>
    <cellStyle name="SAPBEXresData 5 2 2" xfId="4915"/>
    <cellStyle name="SAPBEXresData 5 2 3" xfId="4916"/>
    <cellStyle name="SAPBEXresData 5 2 4" xfId="4917"/>
    <cellStyle name="SAPBEXresData 5 3" xfId="4918"/>
    <cellStyle name="SAPBEXresData 5 4" xfId="4919"/>
    <cellStyle name="SAPBEXresData 5 5" xfId="4920"/>
    <cellStyle name="SAPBEXresData 6" xfId="4921"/>
    <cellStyle name="SAPBEXresData 6 2" xfId="4922"/>
    <cellStyle name="SAPBEXresData 6 3" xfId="4923"/>
    <cellStyle name="SAPBEXresData 6 4" xfId="4924"/>
    <cellStyle name="SAPBEXresData 7" xfId="4925"/>
    <cellStyle name="SAPBEXresData 8" xfId="4926"/>
    <cellStyle name="SAPBEXresData 9" xfId="4927"/>
    <cellStyle name="SAPBEXresDataEmph" xfId="4928"/>
    <cellStyle name="SAPBEXresDataEmph 10" xfId="4929"/>
    <cellStyle name="SAPBEXresDataEmph 11" xfId="4930"/>
    <cellStyle name="SAPBEXresDataEmph 12" xfId="4931"/>
    <cellStyle name="SAPBEXresDataEmph 13" xfId="4932"/>
    <cellStyle name="SAPBEXresDataEmph 14" xfId="4933"/>
    <cellStyle name="SAPBEXresDataEmph 15" xfId="4934"/>
    <cellStyle name="SAPBEXresDataEmph 16" xfId="4935"/>
    <cellStyle name="SAPBEXresDataEmph 17" xfId="4936"/>
    <cellStyle name="SAPBEXresDataEmph 18" xfId="4937"/>
    <cellStyle name="SAPBEXresDataEmph 19" xfId="4938"/>
    <cellStyle name="SAPBEXresDataEmph 2" xfId="4939"/>
    <cellStyle name="SAPBEXresDataEmph 2 2" xfId="4940"/>
    <cellStyle name="SAPBEXresDataEmph 2 2 2" xfId="4941"/>
    <cellStyle name="SAPBEXresDataEmph 2 2 3" xfId="4942"/>
    <cellStyle name="SAPBEXresDataEmph 2 2 4" xfId="4943"/>
    <cellStyle name="SAPBEXresDataEmph 2 3" xfId="4944"/>
    <cellStyle name="SAPBEXresDataEmph 2 4" xfId="4945"/>
    <cellStyle name="SAPBEXresDataEmph 2 5" xfId="4946"/>
    <cellStyle name="SAPBEXresDataEmph 20" xfId="4947"/>
    <cellStyle name="SAPBEXresDataEmph 21" xfId="4948"/>
    <cellStyle name="SAPBEXresDataEmph 22" xfId="4949"/>
    <cellStyle name="SAPBEXresDataEmph 23" xfId="4950"/>
    <cellStyle name="SAPBEXresDataEmph 24" xfId="4951"/>
    <cellStyle name="SAPBEXresDataEmph 25" xfId="4952"/>
    <cellStyle name="SAPBEXresDataEmph 26" xfId="4953"/>
    <cellStyle name="SAPBEXresDataEmph 27" xfId="4954"/>
    <cellStyle name="SAPBEXresDataEmph 28" xfId="4955"/>
    <cellStyle name="SAPBEXresDataEmph 29" xfId="4956"/>
    <cellStyle name="SAPBEXresDataEmph 3" xfId="4957"/>
    <cellStyle name="SAPBEXresDataEmph 3 2" xfId="4958"/>
    <cellStyle name="SAPBEXresDataEmph 3 2 2" xfId="4959"/>
    <cellStyle name="SAPBEXresDataEmph 3 2 3" xfId="4960"/>
    <cellStyle name="SAPBEXresDataEmph 3 2 4" xfId="4961"/>
    <cellStyle name="SAPBEXresDataEmph 3 3" xfId="4962"/>
    <cellStyle name="SAPBEXresDataEmph 3 4" xfId="4963"/>
    <cellStyle name="SAPBEXresDataEmph 3 5" xfId="4964"/>
    <cellStyle name="SAPBEXresDataEmph 30" xfId="4965"/>
    <cellStyle name="SAPBEXresDataEmph 31" xfId="4966"/>
    <cellStyle name="SAPBEXresDataEmph 32" xfId="4967"/>
    <cellStyle name="SAPBEXresDataEmph 33" xfId="4968"/>
    <cellStyle name="SAPBEXresDataEmph 34" xfId="4969"/>
    <cellStyle name="SAPBEXresDataEmph 35" xfId="4970"/>
    <cellStyle name="SAPBEXresDataEmph 36" xfId="4971"/>
    <cellStyle name="SAPBEXresDataEmph 37" xfId="4972"/>
    <cellStyle name="SAPBEXresDataEmph 38" xfId="4973"/>
    <cellStyle name="SAPBEXresDataEmph 39" xfId="4974"/>
    <cellStyle name="SAPBEXresDataEmph 4" xfId="4975"/>
    <cellStyle name="SAPBEXresDataEmph 4 2" xfId="4976"/>
    <cellStyle name="SAPBEXresDataEmph 4 2 2" xfId="4977"/>
    <cellStyle name="SAPBEXresDataEmph 4 2 3" xfId="4978"/>
    <cellStyle name="SAPBEXresDataEmph 4 2 4" xfId="4979"/>
    <cellStyle name="SAPBEXresDataEmph 4 3" xfId="4980"/>
    <cellStyle name="SAPBEXresDataEmph 4 4" xfId="4981"/>
    <cellStyle name="SAPBEXresDataEmph 4 5" xfId="4982"/>
    <cellStyle name="SAPBEXresDataEmph 40" xfId="4983"/>
    <cellStyle name="SAPBEXresDataEmph 41" xfId="4984"/>
    <cellStyle name="SAPBEXresDataEmph 42" xfId="4985"/>
    <cellStyle name="SAPBEXresDataEmph 43" xfId="4986"/>
    <cellStyle name="SAPBEXresDataEmph 44" xfId="4987"/>
    <cellStyle name="SAPBEXresDataEmph 5" xfId="4988"/>
    <cellStyle name="SAPBEXresDataEmph 5 2" xfId="4989"/>
    <cellStyle name="SAPBEXresDataEmph 5 2 2" xfId="4990"/>
    <cellStyle name="SAPBEXresDataEmph 5 2 3" xfId="4991"/>
    <cellStyle name="SAPBEXresDataEmph 5 2 4" xfId="4992"/>
    <cellStyle name="SAPBEXresDataEmph 5 3" xfId="4993"/>
    <cellStyle name="SAPBEXresDataEmph 5 4" xfId="4994"/>
    <cellStyle name="SAPBEXresDataEmph 5 5" xfId="4995"/>
    <cellStyle name="SAPBEXresDataEmph 6" xfId="4996"/>
    <cellStyle name="SAPBEXresDataEmph 6 2" xfId="4997"/>
    <cellStyle name="SAPBEXresDataEmph 6 3" xfId="4998"/>
    <cellStyle name="SAPBEXresDataEmph 6 4" xfId="4999"/>
    <cellStyle name="SAPBEXresDataEmph 7" xfId="5000"/>
    <cellStyle name="SAPBEXresDataEmph 8" xfId="5001"/>
    <cellStyle name="SAPBEXresDataEmph 9" xfId="5002"/>
    <cellStyle name="SAPBEXresItem" xfId="5003"/>
    <cellStyle name="SAPBEXresItem 10" xfId="5004"/>
    <cellStyle name="SAPBEXresItem 11" xfId="5005"/>
    <cellStyle name="SAPBEXresItem 12" xfId="5006"/>
    <cellStyle name="SAPBEXresItem 13" xfId="5007"/>
    <cellStyle name="SAPBEXresItem 14" xfId="5008"/>
    <cellStyle name="SAPBEXresItem 15" xfId="5009"/>
    <cellStyle name="SAPBEXresItem 16" xfId="5010"/>
    <cellStyle name="SAPBEXresItem 17" xfId="5011"/>
    <cellStyle name="SAPBEXresItem 18" xfId="5012"/>
    <cellStyle name="SAPBEXresItem 19" xfId="5013"/>
    <cellStyle name="SAPBEXresItem 2" xfId="5014"/>
    <cellStyle name="SAPBEXresItem 2 2" xfId="5015"/>
    <cellStyle name="SAPBEXresItem 2 2 2" xfId="5016"/>
    <cellStyle name="SAPBEXresItem 2 2 3" xfId="5017"/>
    <cellStyle name="SAPBEXresItem 2 2 4" xfId="5018"/>
    <cellStyle name="SAPBEXresItem 2 3" xfId="5019"/>
    <cellStyle name="SAPBEXresItem 2 4" xfId="5020"/>
    <cellStyle name="SAPBEXresItem 2 5" xfId="5021"/>
    <cellStyle name="SAPBEXresItem 20" xfId="5022"/>
    <cellStyle name="SAPBEXresItem 21" xfId="5023"/>
    <cellStyle name="SAPBEXresItem 22" xfId="5024"/>
    <cellStyle name="SAPBEXresItem 23" xfId="5025"/>
    <cellStyle name="SAPBEXresItem 24" xfId="5026"/>
    <cellStyle name="SAPBEXresItem 25" xfId="5027"/>
    <cellStyle name="SAPBEXresItem 26" xfId="5028"/>
    <cellStyle name="SAPBEXresItem 27" xfId="5029"/>
    <cellStyle name="SAPBEXresItem 28" xfId="5030"/>
    <cellStyle name="SAPBEXresItem 29" xfId="5031"/>
    <cellStyle name="SAPBEXresItem 3" xfId="5032"/>
    <cellStyle name="SAPBEXresItem 3 2" xfId="5033"/>
    <cellStyle name="SAPBEXresItem 3 2 2" xfId="5034"/>
    <cellStyle name="SAPBEXresItem 3 2 3" xfId="5035"/>
    <cellStyle name="SAPBEXresItem 3 2 4" xfId="5036"/>
    <cellStyle name="SAPBEXresItem 3 3" xfId="5037"/>
    <cellStyle name="SAPBEXresItem 3 4" xfId="5038"/>
    <cellStyle name="SAPBEXresItem 3 5" xfId="5039"/>
    <cellStyle name="SAPBEXresItem 30" xfId="5040"/>
    <cellStyle name="SAPBEXresItem 31" xfId="5041"/>
    <cellStyle name="SAPBEXresItem 32" xfId="5042"/>
    <cellStyle name="SAPBEXresItem 33" xfId="5043"/>
    <cellStyle name="SAPBEXresItem 34" xfId="5044"/>
    <cellStyle name="SAPBEXresItem 35" xfId="5045"/>
    <cellStyle name="SAPBEXresItem 36" xfId="5046"/>
    <cellStyle name="SAPBEXresItem 37" xfId="5047"/>
    <cellStyle name="SAPBEXresItem 38" xfId="5048"/>
    <cellStyle name="SAPBEXresItem 39" xfId="5049"/>
    <cellStyle name="SAPBEXresItem 4" xfId="5050"/>
    <cellStyle name="SAPBEXresItem 4 2" xfId="5051"/>
    <cellStyle name="SAPBEXresItem 4 2 2" xfId="5052"/>
    <cellStyle name="SAPBEXresItem 4 2 3" xfId="5053"/>
    <cellStyle name="SAPBEXresItem 4 2 4" xfId="5054"/>
    <cellStyle name="SAPBEXresItem 4 3" xfId="5055"/>
    <cellStyle name="SAPBEXresItem 4 4" xfId="5056"/>
    <cellStyle name="SAPBEXresItem 4 5" xfId="5057"/>
    <cellStyle name="SAPBEXresItem 40" xfId="5058"/>
    <cellStyle name="SAPBEXresItem 41" xfId="5059"/>
    <cellStyle name="SAPBEXresItem 42" xfId="5060"/>
    <cellStyle name="SAPBEXresItem 43" xfId="5061"/>
    <cellStyle name="SAPBEXresItem 44" xfId="5062"/>
    <cellStyle name="SAPBEXresItem 5" xfId="5063"/>
    <cellStyle name="SAPBEXresItem 5 2" xfId="5064"/>
    <cellStyle name="SAPBEXresItem 5 2 2" xfId="5065"/>
    <cellStyle name="SAPBEXresItem 5 2 3" xfId="5066"/>
    <cellStyle name="SAPBEXresItem 5 2 4" xfId="5067"/>
    <cellStyle name="SAPBEXresItem 5 3" xfId="5068"/>
    <cellStyle name="SAPBEXresItem 5 4" xfId="5069"/>
    <cellStyle name="SAPBEXresItem 5 5" xfId="5070"/>
    <cellStyle name="SAPBEXresItem 6" xfId="5071"/>
    <cellStyle name="SAPBEXresItem 6 2" xfId="5072"/>
    <cellStyle name="SAPBEXresItem 6 3" xfId="5073"/>
    <cellStyle name="SAPBEXresItem 6 4" xfId="5074"/>
    <cellStyle name="SAPBEXresItem 7" xfId="5075"/>
    <cellStyle name="SAPBEXresItem 8" xfId="5076"/>
    <cellStyle name="SAPBEXresItem 9" xfId="5077"/>
    <cellStyle name="SAPBEXresItemX" xfId="5078"/>
    <cellStyle name="SAPBEXresItemX 10" xfId="5079"/>
    <cellStyle name="SAPBEXresItemX 11" xfId="5080"/>
    <cellStyle name="SAPBEXresItemX 12" xfId="5081"/>
    <cellStyle name="SAPBEXresItemX 13" xfId="5082"/>
    <cellStyle name="SAPBEXresItemX 14" xfId="5083"/>
    <cellStyle name="SAPBEXresItemX 15" xfId="5084"/>
    <cellStyle name="SAPBEXresItemX 16" xfId="5085"/>
    <cellStyle name="SAPBEXresItemX 17" xfId="5086"/>
    <cellStyle name="SAPBEXresItemX 18" xfId="5087"/>
    <cellStyle name="SAPBEXresItemX 19" xfId="5088"/>
    <cellStyle name="SAPBEXresItemX 2" xfId="5089"/>
    <cellStyle name="SAPBEXresItemX 2 2" xfId="5090"/>
    <cellStyle name="SAPBEXresItemX 2 2 2" xfId="5091"/>
    <cellStyle name="SAPBEXresItemX 2 2 3" xfId="5092"/>
    <cellStyle name="SAPBEXresItemX 2 2 4" xfId="5093"/>
    <cellStyle name="SAPBEXresItemX 2 3" xfId="5094"/>
    <cellStyle name="SAPBEXresItemX 2 4" xfId="5095"/>
    <cellStyle name="SAPBEXresItemX 2 5" xfId="5096"/>
    <cellStyle name="SAPBEXresItemX 20" xfId="5097"/>
    <cellStyle name="SAPBEXresItemX 21" xfId="5098"/>
    <cellStyle name="SAPBEXresItemX 22" xfId="5099"/>
    <cellStyle name="SAPBEXresItemX 23" xfId="5100"/>
    <cellStyle name="SAPBEXresItemX 24" xfId="5101"/>
    <cellStyle name="SAPBEXresItemX 25" xfId="5102"/>
    <cellStyle name="SAPBEXresItemX 26" xfId="5103"/>
    <cellStyle name="SAPBEXresItemX 27" xfId="5104"/>
    <cellStyle name="SAPBEXresItemX 28" xfId="5105"/>
    <cellStyle name="SAPBEXresItemX 29" xfId="5106"/>
    <cellStyle name="SAPBEXresItemX 3" xfId="5107"/>
    <cellStyle name="SAPBEXresItemX 3 2" xfId="5108"/>
    <cellStyle name="SAPBEXresItemX 3 2 2" xfId="5109"/>
    <cellStyle name="SAPBEXresItemX 3 2 3" xfId="5110"/>
    <cellStyle name="SAPBEXresItemX 3 2 4" xfId="5111"/>
    <cellStyle name="SAPBEXresItemX 3 3" xfId="5112"/>
    <cellStyle name="SAPBEXresItemX 3 4" xfId="5113"/>
    <cellStyle name="SAPBEXresItemX 3 5" xfId="5114"/>
    <cellStyle name="SAPBEXresItemX 30" xfId="5115"/>
    <cellStyle name="SAPBEXresItemX 31" xfId="5116"/>
    <cellStyle name="SAPBEXresItemX 32" xfId="5117"/>
    <cellStyle name="SAPBEXresItemX 33" xfId="5118"/>
    <cellStyle name="SAPBEXresItemX 34" xfId="5119"/>
    <cellStyle name="SAPBEXresItemX 35" xfId="5120"/>
    <cellStyle name="SAPBEXresItemX 36" xfId="5121"/>
    <cellStyle name="SAPBEXresItemX 37" xfId="5122"/>
    <cellStyle name="SAPBEXresItemX 38" xfId="5123"/>
    <cellStyle name="SAPBEXresItemX 39" xfId="5124"/>
    <cellStyle name="SAPBEXresItemX 4" xfId="5125"/>
    <cellStyle name="SAPBEXresItemX 4 2" xfId="5126"/>
    <cellStyle name="SAPBEXresItemX 4 2 2" xfId="5127"/>
    <cellStyle name="SAPBEXresItemX 4 2 3" xfId="5128"/>
    <cellStyle name="SAPBEXresItemX 4 2 4" xfId="5129"/>
    <cellStyle name="SAPBEXresItemX 4 3" xfId="5130"/>
    <cellStyle name="SAPBEXresItemX 4 4" xfId="5131"/>
    <cellStyle name="SAPBEXresItemX 4 5" xfId="5132"/>
    <cellStyle name="SAPBEXresItemX 40" xfId="5133"/>
    <cellStyle name="SAPBEXresItemX 41" xfId="5134"/>
    <cellStyle name="SAPBEXresItemX 42" xfId="5135"/>
    <cellStyle name="SAPBEXresItemX 43" xfId="5136"/>
    <cellStyle name="SAPBEXresItemX 44" xfId="5137"/>
    <cellStyle name="SAPBEXresItemX 5" xfId="5138"/>
    <cellStyle name="SAPBEXresItemX 5 2" xfId="5139"/>
    <cellStyle name="SAPBEXresItemX 5 2 2" xfId="5140"/>
    <cellStyle name="SAPBEXresItemX 5 2 3" xfId="5141"/>
    <cellStyle name="SAPBEXresItemX 5 2 4" xfId="5142"/>
    <cellStyle name="SAPBEXresItemX 5 3" xfId="5143"/>
    <cellStyle name="SAPBEXresItemX 5 4" xfId="5144"/>
    <cellStyle name="SAPBEXresItemX 5 5" xfId="5145"/>
    <cellStyle name="SAPBEXresItemX 6" xfId="5146"/>
    <cellStyle name="SAPBEXresItemX 6 2" xfId="5147"/>
    <cellStyle name="SAPBEXresItemX 6 3" xfId="5148"/>
    <cellStyle name="SAPBEXresItemX 6 4" xfId="5149"/>
    <cellStyle name="SAPBEXresItemX 7" xfId="5150"/>
    <cellStyle name="SAPBEXresItemX 8" xfId="5151"/>
    <cellStyle name="SAPBEXresItemX 9" xfId="5152"/>
    <cellStyle name="SAPBEXstdData" xfId="5153"/>
    <cellStyle name="SAPBEXstdData 10" xfId="5154"/>
    <cellStyle name="SAPBEXstdData 11" xfId="5155"/>
    <cellStyle name="SAPBEXstdData 12" xfId="5156"/>
    <cellStyle name="SAPBEXstdData 13" xfId="5157"/>
    <cellStyle name="SAPBEXstdData 14" xfId="5158"/>
    <cellStyle name="SAPBEXstdData 15" xfId="5159"/>
    <cellStyle name="SAPBEXstdData 16" xfId="5160"/>
    <cellStyle name="SAPBEXstdData 17" xfId="5161"/>
    <cellStyle name="SAPBEXstdData 18" xfId="5162"/>
    <cellStyle name="SAPBEXstdData 19" xfId="5163"/>
    <cellStyle name="SAPBEXstdData 2" xfId="5164"/>
    <cellStyle name="SAPBEXstdData 2 2" xfId="5165"/>
    <cellStyle name="SAPBEXstdData 2 2 2" xfId="5166"/>
    <cellStyle name="SAPBEXstdData 2 2 3" xfId="5167"/>
    <cellStyle name="SAPBEXstdData 2 2 4" xfId="5168"/>
    <cellStyle name="SAPBEXstdData 2 3" xfId="5169"/>
    <cellStyle name="SAPBEXstdData 2 4" xfId="5170"/>
    <cellStyle name="SAPBEXstdData 2 5" xfId="5171"/>
    <cellStyle name="SAPBEXstdData 20" xfId="5172"/>
    <cellStyle name="SAPBEXstdData 21" xfId="5173"/>
    <cellStyle name="SAPBEXstdData 22" xfId="5174"/>
    <cellStyle name="SAPBEXstdData 23" xfId="5175"/>
    <cellStyle name="SAPBEXstdData 24" xfId="5176"/>
    <cellStyle name="SAPBEXstdData 25" xfId="5177"/>
    <cellStyle name="SAPBEXstdData 26" xfId="5178"/>
    <cellStyle name="SAPBEXstdData 27" xfId="5179"/>
    <cellStyle name="SAPBEXstdData 28" xfId="5180"/>
    <cellStyle name="SAPBEXstdData 29" xfId="5181"/>
    <cellStyle name="SAPBEXstdData 3" xfId="5182"/>
    <cellStyle name="SAPBEXstdData 3 2" xfId="5183"/>
    <cellStyle name="SAPBEXstdData 3 2 2" xfId="5184"/>
    <cellStyle name="SAPBEXstdData 3 2 3" xfId="5185"/>
    <cellStyle name="SAPBEXstdData 3 2 4" xfId="5186"/>
    <cellStyle name="SAPBEXstdData 3 3" xfId="5187"/>
    <cellStyle name="SAPBEXstdData 3 4" xfId="5188"/>
    <cellStyle name="SAPBEXstdData 3 5" xfId="5189"/>
    <cellStyle name="SAPBEXstdData 30" xfId="5190"/>
    <cellStyle name="SAPBEXstdData 31" xfId="5191"/>
    <cellStyle name="SAPBEXstdData 32" xfId="5192"/>
    <cellStyle name="SAPBEXstdData 33" xfId="5193"/>
    <cellStyle name="SAPBEXstdData 34" xfId="5194"/>
    <cellStyle name="SAPBEXstdData 35" xfId="5195"/>
    <cellStyle name="SAPBEXstdData 36" xfId="5196"/>
    <cellStyle name="SAPBEXstdData 37" xfId="5197"/>
    <cellStyle name="SAPBEXstdData 38" xfId="5198"/>
    <cellStyle name="SAPBEXstdData 39" xfId="5199"/>
    <cellStyle name="SAPBEXstdData 4" xfId="5200"/>
    <cellStyle name="SAPBEXstdData 4 2" xfId="5201"/>
    <cellStyle name="SAPBEXstdData 4 2 2" xfId="5202"/>
    <cellStyle name="SAPBEXstdData 4 2 3" xfId="5203"/>
    <cellStyle name="SAPBEXstdData 4 2 4" xfId="5204"/>
    <cellStyle name="SAPBEXstdData 4 3" xfId="5205"/>
    <cellStyle name="SAPBEXstdData 4 4" xfId="5206"/>
    <cellStyle name="SAPBEXstdData 4 5" xfId="5207"/>
    <cellStyle name="SAPBEXstdData 40" xfId="5208"/>
    <cellStyle name="SAPBEXstdData 41" xfId="5209"/>
    <cellStyle name="SAPBEXstdData 42" xfId="5210"/>
    <cellStyle name="SAPBEXstdData 43" xfId="5211"/>
    <cellStyle name="SAPBEXstdData 44" xfId="5212"/>
    <cellStyle name="SAPBEXstdData 5" xfId="5213"/>
    <cellStyle name="SAPBEXstdData 5 2" xfId="5214"/>
    <cellStyle name="SAPBEXstdData 5 2 2" xfId="5215"/>
    <cellStyle name="SAPBEXstdData 5 2 3" xfId="5216"/>
    <cellStyle name="SAPBEXstdData 5 2 4" xfId="5217"/>
    <cellStyle name="SAPBEXstdData 5 3" xfId="5218"/>
    <cellStyle name="SAPBEXstdData 5 4" xfId="5219"/>
    <cellStyle name="SAPBEXstdData 5 5" xfId="5220"/>
    <cellStyle name="SAPBEXstdData 6" xfId="5221"/>
    <cellStyle name="SAPBEXstdData 6 2" xfId="5222"/>
    <cellStyle name="SAPBEXstdData 6 3" xfId="5223"/>
    <cellStyle name="SAPBEXstdData 6 4" xfId="5224"/>
    <cellStyle name="SAPBEXstdData 7" xfId="5225"/>
    <cellStyle name="SAPBEXstdData 8" xfId="5226"/>
    <cellStyle name="SAPBEXstdData 9" xfId="5227"/>
    <cellStyle name="SAPBEXstdDataEmph" xfId="5228"/>
    <cellStyle name="SAPBEXstdDataEmph 10" xfId="5229"/>
    <cellStyle name="SAPBEXstdDataEmph 11" xfId="5230"/>
    <cellStyle name="SAPBEXstdDataEmph 12" xfId="5231"/>
    <cellStyle name="SAPBEXstdDataEmph 13" xfId="5232"/>
    <cellStyle name="SAPBEXstdDataEmph 14" xfId="5233"/>
    <cellStyle name="SAPBEXstdDataEmph 15" xfId="5234"/>
    <cellStyle name="SAPBEXstdDataEmph 16" xfId="5235"/>
    <cellStyle name="SAPBEXstdDataEmph 17" xfId="5236"/>
    <cellStyle name="SAPBEXstdDataEmph 18" xfId="5237"/>
    <cellStyle name="SAPBEXstdDataEmph 19" xfId="5238"/>
    <cellStyle name="SAPBEXstdDataEmph 2" xfId="5239"/>
    <cellStyle name="SAPBEXstdDataEmph 2 2" xfId="5240"/>
    <cellStyle name="SAPBEXstdDataEmph 2 2 2" xfId="5241"/>
    <cellStyle name="SAPBEXstdDataEmph 2 2 3" xfId="5242"/>
    <cellStyle name="SAPBEXstdDataEmph 2 2 4" xfId="5243"/>
    <cellStyle name="SAPBEXstdDataEmph 2 3" xfId="5244"/>
    <cellStyle name="SAPBEXstdDataEmph 2 4" xfId="5245"/>
    <cellStyle name="SAPBEXstdDataEmph 2 5" xfId="5246"/>
    <cellStyle name="SAPBEXstdDataEmph 20" xfId="5247"/>
    <cellStyle name="SAPBEXstdDataEmph 21" xfId="5248"/>
    <cellStyle name="SAPBEXstdDataEmph 22" xfId="5249"/>
    <cellStyle name="SAPBEXstdDataEmph 23" xfId="5250"/>
    <cellStyle name="SAPBEXstdDataEmph 24" xfId="5251"/>
    <cellStyle name="SAPBEXstdDataEmph 25" xfId="5252"/>
    <cellStyle name="SAPBEXstdDataEmph 26" xfId="5253"/>
    <cellStyle name="SAPBEXstdDataEmph 27" xfId="5254"/>
    <cellStyle name="SAPBEXstdDataEmph 28" xfId="5255"/>
    <cellStyle name="SAPBEXstdDataEmph 29" xfId="5256"/>
    <cellStyle name="SAPBEXstdDataEmph 3" xfId="5257"/>
    <cellStyle name="SAPBEXstdDataEmph 3 2" xfId="5258"/>
    <cellStyle name="SAPBEXstdDataEmph 3 2 2" xfId="5259"/>
    <cellStyle name="SAPBEXstdDataEmph 3 2 3" xfId="5260"/>
    <cellStyle name="SAPBEXstdDataEmph 3 2 4" xfId="5261"/>
    <cellStyle name="SAPBEXstdDataEmph 3 3" xfId="5262"/>
    <cellStyle name="SAPBEXstdDataEmph 3 4" xfId="5263"/>
    <cellStyle name="SAPBEXstdDataEmph 3 5" xfId="5264"/>
    <cellStyle name="SAPBEXstdDataEmph 30" xfId="5265"/>
    <cellStyle name="SAPBEXstdDataEmph 31" xfId="5266"/>
    <cellStyle name="SAPBEXstdDataEmph 32" xfId="5267"/>
    <cellStyle name="SAPBEXstdDataEmph 33" xfId="5268"/>
    <cellStyle name="SAPBEXstdDataEmph 34" xfId="5269"/>
    <cellStyle name="SAPBEXstdDataEmph 35" xfId="5270"/>
    <cellStyle name="SAPBEXstdDataEmph 36" xfId="5271"/>
    <cellStyle name="SAPBEXstdDataEmph 37" xfId="5272"/>
    <cellStyle name="SAPBEXstdDataEmph 38" xfId="5273"/>
    <cellStyle name="SAPBEXstdDataEmph 39" xfId="5274"/>
    <cellStyle name="SAPBEXstdDataEmph 4" xfId="5275"/>
    <cellStyle name="SAPBEXstdDataEmph 4 2" xfId="5276"/>
    <cellStyle name="SAPBEXstdDataEmph 4 2 2" xfId="5277"/>
    <cellStyle name="SAPBEXstdDataEmph 4 2 3" xfId="5278"/>
    <cellStyle name="SAPBEXstdDataEmph 4 2 4" xfId="5279"/>
    <cellStyle name="SAPBEXstdDataEmph 4 3" xfId="5280"/>
    <cellStyle name="SAPBEXstdDataEmph 4 4" xfId="5281"/>
    <cellStyle name="SAPBEXstdDataEmph 4 5" xfId="5282"/>
    <cellStyle name="SAPBEXstdDataEmph 40" xfId="5283"/>
    <cellStyle name="SAPBEXstdDataEmph 41" xfId="5284"/>
    <cellStyle name="SAPBEXstdDataEmph 42" xfId="5285"/>
    <cellStyle name="SAPBEXstdDataEmph 43" xfId="5286"/>
    <cellStyle name="SAPBEXstdDataEmph 44" xfId="5287"/>
    <cellStyle name="SAPBEXstdDataEmph 5" xfId="5288"/>
    <cellStyle name="SAPBEXstdDataEmph 5 2" xfId="5289"/>
    <cellStyle name="SAPBEXstdDataEmph 5 2 2" xfId="5290"/>
    <cellStyle name="SAPBEXstdDataEmph 5 2 3" xfId="5291"/>
    <cellStyle name="SAPBEXstdDataEmph 5 2 4" xfId="5292"/>
    <cellStyle name="SAPBEXstdDataEmph 5 3" xfId="5293"/>
    <cellStyle name="SAPBEXstdDataEmph 5 4" xfId="5294"/>
    <cellStyle name="SAPBEXstdDataEmph 5 5" xfId="5295"/>
    <cellStyle name="SAPBEXstdDataEmph 6" xfId="5296"/>
    <cellStyle name="SAPBEXstdDataEmph 6 2" xfId="5297"/>
    <cellStyle name="SAPBEXstdDataEmph 6 3" xfId="5298"/>
    <cellStyle name="SAPBEXstdDataEmph 6 4" xfId="5299"/>
    <cellStyle name="SAPBEXstdDataEmph 7" xfId="5300"/>
    <cellStyle name="SAPBEXstdDataEmph 8" xfId="5301"/>
    <cellStyle name="SAPBEXstdDataEmph 9" xfId="5302"/>
    <cellStyle name="SAPBEXstdItem" xfId="5303"/>
    <cellStyle name="SAPBEXstdItem 10" xfId="5304"/>
    <cellStyle name="SAPBEXstdItem 11" xfId="5305"/>
    <cellStyle name="SAPBEXstdItem 12" xfId="5306"/>
    <cellStyle name="SAPBEXstdItem 13" xfId="5307"/>
    <cellStyle name="SAPBEXstdItem 14" xfId="5308"/>
    <cellStyle name="SAPBEXstdItem 15" xfId="5309"/>
    <cellStyle name="SAPBEXstdItem 16" xfId="5310"/>
    <cellStyle name="SAPBEXstdItem 17" xfId="5311"/>
    <cellStyle name="SAPBEXstdItem 18" xfId="5312"/>
    <cellStyle name="SAPBEXstdItem 19" xfId="5313"/>
    <cellStyle name="SAPBEXstdItem 2" xfId="5314"/>
    <cellStyle name="SAPBEXstdItem 2 2" xfId="5315"/>
    <cellStyle name="SAPBEXstdItem 2 2 2" xfId="5316"/>
    <cellStyle name="SAPBEXstdItem 2 2 3" xfId="5317"/>
    <cellStyle name="SAPBEXstdItem 2 2 4" xfId="5318"/>
    <cellStyle name="SAPBEXstdItem 2 3" xfId="5319"/>
    <cellStyle name="SAPBEXstdItem 2 4" xfId="5320"/>
    <cellStyle name="SAPBEXstdItem 2 5" xfId="5321"/>
    <cellStyle name="SAPBEXstdItem 20" xfId="5322"/>
    <cellStyle name="SAPBEXstdItem 21" xfId="5323"/>
    <cellStyle name="SAPBEXstdItem 22" xfId="5324"/>
    <cellStyle name="SAPBEXstdItem 23" xfId="5325"/>
    <cellStyle name="SAPBEXstdItem 24" xfId="5326"/>
    <cellStyle name="SAPBEXstdItem 25" xfId="5327"/>
    <cellStyle name="SAPBEXstdItem 26" xfId="5328"/>
    <cellStyle name="SAPBEXstdItem 27" xfId="5329"/>
    <cellStyle name="SAPBEXstdItem 28" xfId="5330"/>
    <cellStyle name="SAPBEXstdItem 29" xfId="5331"/>
    <cellStyle name="SAPBEXstdItem 3" xfId="5332"/>
    <cellStyle name="SAPBEXstdItem 3 2" xfId="5333"/>
    <cellStyle name="SAPBEXstdItem 3 2 2" xfId="5334"/>
    <cellStyle name="SAPBEXstdItem 3 2 3" xfId="5335"/>
    <cellStyle name="SAPBEXstdItem 3 2 4" xfId="5336"/>
    <cellStyle name="SAPBEXstdItem 3 3" xfId="5337"/>
    <cellStyle name="SAPBEXstdItem 3 4" xfId="5338"/>
    <cellStyle name="SAPBEXstdItem 3 5" xfId="5339"/>
    <cellStyle name="SAPBEXstdItem 30" xfId="5340"/>
    <cellStyle name="SAPBEXstdItem 31" xfId="5341"/>
    <cellStyle name="SAPBEXstdItem 32" xfId="5342"/>
    <cellStyle name="SAPBEXstdItem 33" xfId="5343"/>
    <cellStyle name="SAPBEXstdItem 34" xfId="5344"/>
    <cellStyle name="SAPBEXstdItem 35" xfId="5345"/>
    <cellStyle name="SAPBEXstdItem 36" xfId="5346"/>
    <cellStyle name="SAPBEXstdItem 37" xfId="5347"/>
    <cellStyle name="SAPBEXstdItem 38" xfId="5348"/>
    <cellStyle name="SAPBEXstdItem 39" xfId="5349"/>
    <cellStyle name="SAPBEXstdItem 4" xfId="5350"/>
    <cellStyle name="SAPBEXstdItem 4 2" xfId="5351"/>
    <cellStyle name="SAPBEXstdItem 4 2 2" xfId="5352"/>
    <cellStyle name="SAPBEXstdItem 4 2 3" xfId="5353"/>
    <cellStyle name="SAPBEXstdItem 4 2 4" xfId="5354"/>
    <cellStyle name="SAPBEXstdItem 4 3" xfId="5355"/>
    <cellStyle name="SAPBEXstdItem 4 4" xfId="5356"/>
    <cellStyle name="SAPBEXstdItem 4 5" xfId="5357"/>
    <cellStyle name="SAPBEXstdItem 40" xfId="5358"/>
    <cellStyle name="SAPBEXstdItem 41" xfId="5359"/>
    <cellStyle name="SAPBEXstdItem 42" xfId="5360"/>
    <cellStyle name="SAPBEXstdItem 43" xfId="5361"/>
    <cellStyle name="SAPBEXstdItem 44" xfId="5362"/>
    <cellStyle name="SAPBEXstdItem 5" xfId="5363"/>
    <cellStyle name="SAPBEXstdItem 5 2" xfId="5364"/>
    <cellStyle name="SAPBEXstdItem 5 2 2" xfId="5365"/>
    <cellStyle name="SAPBEXstdItem 5 2 3" xfId="5366"/>
    <cellStyle name="SAPBEXstdItem 5 2 4" xfId="5367"/>
    <cellStyle name="SAPBEXstdItem 5 3" xfId="5368"/>
    <cellStyle name="SAPBEXstdItem 5 4" xfId="5369"/>
    <cellStyle name="SAPBEXstdItem 5 5" xfId="5370"/>
    <cellStyle name="SAPBEXstdItem 6" xfId="5371"/>
    <cellStyle name="SAPBEXstdItem 6 2" xfId="5372"/>
    <cellStyle name="SAPBEXstdItem 6 3" xfId="5373"/>
    <cellStyle name="SAPBEXstdItem 6 4" xfId="5374"/>
    <cellStyle name="SAPBEXstdItem 7" xfId="5375"/>
    <cellStyle name="SAPBEXstdItem 8" xfId="5376"/>
    <cellStyle name="SAPBEXstdItem 9" xfId="5377"/>
    <cellStyle name="SAPBEXstdItemX" xfId="5378"/>
    <cellStyle name="SAPBEXstdItemX 10" xfId="5379"/>
    <cellStyle name="SAPBEXstdItemX 11" xfId="5380"/>
    <cellStyle name="SAPBEXstdItemX 12" xfId="5381"/>
    <cellStyle name="SAPBEXstdItemX 13" xfId="5382"/>
    <cellStyle name="SAPBEXstdItemX 14" xfId="5383"/>
    <cellStyle name="SAPBEXstdItemX 15" xfId="5384"/>
    <cellStyle name="SAPBEXstdItemX 16" xfId="5385"/>
    <cellStyle name="SAPBEXstdItemX 17" xfId="5386"/>
    <cellStyle name="SAPBEXstdItemX 18" xfId="5387"/>
    <cellStyle name="SAPBEXstdItemX 19" xfId="5388"/>
    <cellStyle name="SAPBEXstdItemX 2" xfId="5389"/>
    <cellStyle name="SAPBEXstdItemX 2 2" xfId="5390"/>
    <cellStyle name="SAPBEXstdItemX 2 2 2" xfId="5391"/>
    <cellStyle name="SAPBEXstdItemX 2 2 3" xfId="5392"/>
    <cellStyle name="SAPBEXstdItemX 2 2 4" xfId="5393"/>
    <cellStyle name="SAPBEXstdItemX 2 3" xfId="5394"/>
    <cellStyle name="SAPBEXstdItemX 2 4" xfId="5395"/>
    <cellStyle name="SAPBEXstdItemX 2 5" xfId="5396"/>
    <cellStyle name="SAPBEXstdItemX 20" xfId="5397"/>
    <cellStyle name="SAPBEXstdItemX 21" xfId="5398"/>
    <cellStyle name="SAPBEXstdItemX 22" xfId="5399"/>
    <cellStyle name="SAPBEXstdItemX 23" xfId="5400"/>
    <cellStyle name="SAPBEXstdItemX 24" xfId="5401"/>
    <cellStyle name="SAPBEXstdItemX 25" xfId="5402"/>
    <cellStyle name="SAPBEXstdItemX 26" xfId="5403"/>
    <cellStyle name="SAPBEXstdItemX 27" xfId="5404"/>
    <cellStyle name="SAPBEXstdItemX 28" xfId="5405"/>
    <cellStyle name="SAPBEXstdItemX 29" xfId="5406"/>
    <cellStyle name="SAPBEXstdItemX 3" xfId="5407"/>
    <cellStyle name="SAPBEXstdItemX 3 2" xfId="5408"/>
    <cellStyle name="SAPBEXstdItemX 3 2 2" xfId="5409"/>
    <cellStyle name="SAPBEXstdItemX 3 2 3" xfId="5410"/>
    <cellStyle name="SAPBEXstdItemX 3 2 4" xfId="5411"/>
    <cellStyle name="SAPBEXstdItemX 3 3" xfId="5412"/>
    <cellStyle name="SAPBEXstdItemX 3 4" xfId="5413"/>
    <cellStyle name="SAPBEXstdItemX 3 5" xfId="5414"/>
    <cellStyle name="SAPBEXstdItemX 30" xfId="5415"/>
    <cellStyle name="SAPBEXstdItemX 31" xfId="5416"/>
    <cellStyle name="SAPBEXstdItemX 32" xfId="5417"/>
    <cellStyle name="SAPBEXstdItemX 33" xfId="5418"/>
    <cellStyle name="SAPBEXstdItemX 34" xfId="5419"/>
    <cellStyle name="SAPBEXstdItemX 35" xfId="5420"/>
    <cellStyle name="SAPBEXstdItemX 36" xfId="5421"/>
    <cellStyle name="SAPBEXstdItemX 37" xfId="5422"/>
    <cellStyle name="SAPBEXstdItemX 38" xfId="5423"/>
    <cellStyle name="SAPBEXstdItemX 39" xfId="5424"/>
    <cellStyle name="SAPBEXstdItemX 4" xfId="5425"/>
    <cellStyle name="SAPBEXstdItemX 4 2" xfId="5426"/>
    <cellStyle name="SAPBEXstdItemX 4 2 2" xfId="5427"/>
    <cellStyle name="SAPBEXstdItemX 4 2 3" xfId="5428"/>
    <cellStyle name="SAPBEXstdItemX 4 2 4" xfId="5429"/>
    <cellStyle name="SAPBEXstdItemX 4 3" xfId="5430"/>
    <cellStyle name="SAPBEXstdItemX 4 4" xfId="5431"/>
    <cellStyle name="SAPBEXstdItemX 4 5" xfId="5432"/>
    <cellStyle name="SAPBEXstdItemX 40" xfId="5433"/>
    <cellStyle name="SAPBEXstdItemX 41" xfId="5434"/>
    <cellStyle name="SAPBEXstdItemX 42" xfId="5435"/>
    <cellStyle name="SAPBEXstdItemX 43" xfId="5436"/>
    <cellStyle name="SAPBEXstdItemX 44" xfId="5437"/>
    <cellStyle name="SAPBEXstdItemX 5" xfId="5438"/>
    <cellStyle name="SAPBEXstdItemX 5 2" xfId="5439"/>
    <cellStyle name="SAPBEXstdItemX 5 2 2" xfId="5440"/>
    <cellStyle name="SAPBEXstdItemX 5 2 3" xfId="5441"/>
    <cellStyle name="SAPBEXstdItemX 5 2 4" xfId="5442"/>
    <cellStyle name="SAPBEXstdItemX 5 3" xfId="5443"/>
    <cellStyle name="SAPBEXstdItemX 5 4" xfId="5444"/>
    <cellStyle name="SAPBEXstdItemX 5 5" xfId="5445"/>
    <cellStyle name="SAPBEXstdItemX 6" xfId="5446"/>
    <cellStyle name="SAPBEXstdItemX 6 2" xfId="5447"/>
    <cellStyle name="SAPBEXstdItemX 6 3" xfId="5448"/>
    <cellStyle name="SAPBEXstdItemX 6 4" xfId="5449"/>
    <cellStyle name="SAPBEXstdItemX 7" xfId="5450"/>
    <cellStyle name="SAPBEXstdItemX 8" xfId="5451"/>
    <cellStyle name="SAPBEXstdItemX 9" xfId="5452"/>
    <cellStyle name="SAPBEXtitle" xfId="5453"/>
    <cellStyle name="SAPBEXunassignedItem" xfId="5454"/>
    <cellStyle name="SAPBEXunassignedItem 2" xfId="5455"/>
    <cellStyle name="SAPBEXunassignedItem 3" xfId="5456"/>
    <cellStyle name="SAPBEXundefined" xfId="5457"/>
    <cellStyle name="SAPBEXundefined 10" xfId="5458"/>
    <cellStyle name="SAPBEXundefined 11" xfId="5459"/>
    <cellStyle name="SAPBEXundefined 12" xfId="5460"/>
    <cellStyle name="SAPBEXundefined 13" xfId="5461"/>
    <cellStyle name="SAPBEXundefined 14" xfId="5462"/>
    <cellStyle name="SAPBEXundefined 15" xfId="5463"/>
    <cellStyle name="SAPBEXundefined 16" xfId="5464"/>
    <cellStyle name="SAPBEXundefined 17" xfId="5465"/>
    <cellStyle name="SAPBEXundefined 18" xfId="5466"/>
    <cellStyle name="SAPBEXundefined 19" xfId="5467"/>
    <cellStyle name="SAPBEXundefined 2" xfId="5468"/>
    <cellStyle name="SAPBEXundefined 2 2" xfId="5469"/>
    <cellStyle name="SAPBEXundefined 2 2 2" xfId="5470"/>
    <cellStyle name="SAPBEXundefined 2 2 3" xfId="5471"/>
    <cellStyle name="SAPBEXundefined 2 2 4" xfId="5472"/>
    <cellStyle name="SAPBEXundefined 2 3" xfId="5473"/>
    <cellStyle name="SAPBEXundefined 2 4" xfId="5474"/>
    <cellStyle name="SAPBEXundefined 2 5" xfId="5475"/>
    <cellStyle name="SAPBEXundefined 20" xfId="5476"/>
    <cellStyle name="SAPBEXundefined 21" xfId="5477"/>
    <cellStyle name="SAPBEXundefined 22" xfId="5478"/>
    <cellStyle name="SAPBEXundefined 23" xfId="5479"/>
    <cellStyle name="SAPBEXundefined 24" xfId="5480"/>
    <cellStyle name="SAPBEXundefined 25" xfId="5481"/>
    <cellStyle name="SAPBEXundefined 26" xfId="5482"/>
    <cellStyle name="SAPBEXundefined 27" xfId="5483"/>
    <cellStyle name="SAPBEXundefined 28" xfId="5484"/>
    <cellStyle name="SAPBEXundefined 29" xfId="5485"/>
    <cellStyle name="SAPBEXundefined 3" xfId="5486"/>
    <cellStyle name="SAPBEXundefined 3 2" xfId="5487"/>
    <cellStyle name="SAPBEXundefined 3 2 2" xfId="5488"/>
    <cellStyle name="SAPBEXundefined 3 2 3" xfId="5489"/>
    <cellStyle name="SAPBEXundefined 3 2 4" xfId="5490"/>
    <cellStyle name="SAPBEXundefined 3 3" xfId="5491"/>
    <cellStyle name="SAPBEXundefined 3 4" xfId="5492"/>
    <cellStyle name="SAPBEXundefined 3 5" xfId="5493"/>
    <cellStyle name="SAPBEXundefined 30" xfId="5494"/>
    <cellStyle name="SAPBEXundefined 31" xfId="5495"/>
    <cellStyle name="SAPBEXundefined 32" xfId="5496"/>
    <cellStyle name="SAPBEXundefined 33" xfId="5497"/>
    <cellStyle name="SAPBEXundefined 34" xfId="5498"/>
    <cellStyle name="SAPBEXundefined 35" xfId="5499"/>
    <cellStyle name="SAPBEXundefined 36" xfId="5500"/>
    <cellStyle name="SAPBEXundefined 37" xfId="5501"/>
    <cellStyle name="SAPBEXundefined 38" xfId="5502"/>
    <cellStyle name="SAPBEXundefined 39" xfId="5503"/>
    <cellStyle name="SAPBEXundefined 4" xfId="5504"/>
    <cellStyle name="SAPBEXundefined 4 2" xfId="5505"/>
    <cellStyle name="SAPBEXundefined 4 2 2" xfId="5506"/>
    <cellStyle name="SAPBEXundefined 4 2 3" xfId="5507"/>
    <cellStyle name="SAPBEXundefined 4 2 4" xfId="5508"/>
    <cellStyle name="SAPBEXundefined 4 3" xfId="5509"/>
    <cellStyle name="SAPBEXundefined 4 4" xfId="5510"/>
    <cellStyle name="SAPBEXundefined 4 5" xfId="5511"/>
    <cellStyle name="SAPBEXundefined 40" xfId="5512"/>
    <cellStyle name="SAPBEXundefined 41" xfId="5513"/>
    <cellStyle name="SAPBEXundefined 42" xfId="5514"/>
    <cellStyle name="SAPBEXundefined 43" xfId="5515"/>
    <cellStyle name="SAPBEXundefined 44" xfId="5516"/>
    <cellStyle name="SAPBEXundefined 5" xfId="5517"/>
    <cellStyle name="SAPBEXundefined 5 2" xfId="5518"/>
    <cellStyle name="SAPBEXundefined 5 2 2" xfId="5519"/>
    <cellStyle name="SAPBEXundefined 5 2 3" xfId="5520"/>
    <cellStyle name="SAPBEXundefined 5 2 4" xfId="5521"/>
    <cellStyle name="SAPBEXundefined 5 3" xfId="5522"/>
    <cellStyle name="SAPBEXundefined 5 4" xfId="5523"/>
    <cellStyle name="SAPBEXundefined 5 5" xfId="5524"/>
    <cellStyle name="SAPBEXundefined 6" xfId="5525"/>
    <cellStyle name="SAPBEXundefined 6 2" xfId="5526"/>
    <cellStyle name="SAPBEXundefined 6 3" xfId="5527"/>
    <cellStyle name="SAPBEXundefined 6 4" xfId="5528"/>
    <cellStyle name="SAPBEXundefined 7" xfId="5529"/>
    <cellStyle name="SAPBEXundefined 8" xfId="5530"/>
    <cellStyle name="SAPBEXundefined 9" xfId="5531"/>
    <cellStyle name="Sheet Title" xfId="5532"/>
    <cellStyle name="small" xfId="5533"/>
    <cellStyle name="st1" xfId="5534"/>
    <cellStyle name="Standard_Anpassen der Amortisation" xfId="5535"/>
    <cellStyle name="Style 1" xfId="5536"/>
    <cellStyle name="t2" xfId="5537"/>
    <cellStyle name="Table Head" xfId="5538"/>
    <cellStyle name="Table Head Aligned" xfId="5539"/>
    <cellStyle name="Table Head Blue" xfId="5540"/>
    <cellStyle name="Table Head Green" xfId="5541"/>
    <cellStyle name="Table Head_Val_Sum_Graph" xfId="5542"/>
    <cellStyle name="Table Heading" xfId="5543"/>
    <cellStyle name="Table Heading 2" xfId="5544"/>
    <cellStyle name="Table Heading_46EP.2011(v2.0)" xfId="5545"/>
    <cellStyle name="Table Text" xfId="5546"/>
    <cellStyle name="Table Title" xfId="5547"/>
    <cellStyle name="Table Units" xfId="5548"/>
    <cellStyle name="Table_Header" xfId="5549"/>
    <cellStyle name="TableStyleLight1" xfId="5550"/>
    <cellStyle name="TableStyleLight1 2" xfId="5551"/>
    <cellStyle name="Text" xfId="5552"/>
    <cellStyle name="Text 1" xfId="5553"/>
    <cellStyle name="Text Head" xfId="5554"/>
    <cellStyle name="Text Head 1" xfId="5555"/>
    <cellStyle name="Tioma Back" xfId="5556"/>
    <cellStyle name="Tioma Cells No Values" xfId="5557"/>
    <cellStyle name="Tioma formula" xfId="5558"/>
    <cellStyle name="Tioma Input" xfId="5559"/>
    <cellStyle name="Tioma style" xfId="5560"/>
    <cellStyle name="Title" xfId="5561"/>
    <cellStyle name="Title 4" xfId="5562"/>
    <cellStyle name="Total" xfId="5563"/>
    <cellStyle name="Total 10" xfId="5564"/>
    <cellStyle name="Total 11" xfId="5565"/>
    <cellStyle name="Total 12" xfId="5566"/>
    <cellStyle name="Total 13" xfId="5567"/>
    <cellStyle name="Total 14" xfId="5568"/>
    <cellStyle name="Total 15" xfId="5569"/>
    <cellStyle name="Total 16" xfId="5570"/>
    <cellStyle name="Total 17" xfId="5571"/>
    <cellStyle name="Total 18" xfId="5572"/>
    <cellStyle name="Total 19" xfId="5573"/>
    <cellStyle name="Total 2" xfId="5574"/>
    <cellStyle name="Total 2 2" xfId="5575"/>
    <cellStyle name="Total 2 2 2" xfId="5576"/>
    <cellStyle name="Total 2 2 3" xfId="5577"/>
    <cellStyle name="Total 2 2 4" xfId="5578"/>
    <cellStyle name="Total 2 3" xfId="5579"/>
    <cellStyle name="Total 2 3 2" xfId="5580"/>
    <cellStyle name="Total 2 3 3" xfId="5581"/>
    <cellStyle name="Total 2 3 4" xfId="5582"/>
    <cellStyle name="Total 2 4" xfId="5583"/>
    <cellStyle name="Total 2 5" xfId="5584"/>
    <cellStyle name="Total 2 6" xfId="5585"/>
    <cellStyle name="Total 20" xfId="5586"/>
    <cellStyle name="Total 21" xfId="5587"/>
    <cellStyle name="Total 22" xfId="5588"/>
    <cellStyle name="Total 23" xfId="5589"/>
    <cellStyle name="Total 24" xfId="5590"/>
    <cellStyle name="Total 25" xfId="5591"/>
    <cellStyle name="Total 26" xfId="5592"/>
    <cellStyle name="Total 27" xfId="5593"/>
    <cellStyle name="Total 28" xfId="5594"/>
    <cellStyle name="Total 29" xfId="5595"/>
    <cellStyle name="Total 3" xfId="5596"/>
    <cellStyle name="Total 3 2" xfId="5597"/>
    <cellStyle name="Total 3 2 2" xfId="5598"/>
    <cellStyle name="Total 3 2 3" xfId="5599"/>
    <cellStyle name="Total 3 2 4" xfId="5600"/>
    <cellStyle name="Total 3 3" xfId="5601"/>
    <cellStyle name="Total 3 3 2" xfId="5602"/>
    <cellStyle name="Total 3 3 3" xfId="5603"/>
    <cellStyle name="Total 3 3 4" xfId="5604"/>
    <cellStyle name="Total 3 4" xfId="5605"/>
    <cellStyle name="Total 3 5" xfId="5606"/>
    <cellStyle name="Total 3 6" xfId="5607"/>
    <cellStyle name="Total 30" xfId="5608"/>
    <cellStyle name="Total 31" xfId="5609"/>
    <cellStyle name="Total 32" xfId="5610"/>
    <cellStyle name="Total 33" xfId="5611"/>
    <cellStyle name="Total 34" xfId="5612"/>
    <cellStyle name="Total 35" xfId="5613"/>
    <cellStyle name="Total 36" xfId="5614"/>
    <cellStyle name="Total 37" xfId="5615"/>
    <cellStyle name="Total 38" xfId="5616"/>
    <cellStyle name="Total 39" xfId="5617"/>
    <cellStyle name="Total 4" xfId="5618"/>
    <cellStyle name="Total 4 2" xfId="5619"/>
    <cellStyle name="Total 4 2 2" xfId="5620"/>
    <cellStyle name="Total 4 2 3" xfId="5621"/>
    <cellStyle name="Total 4 2 4" xfId="5622"/>
    <cellStyle name="Total 4 3" xfId="5623"/>
    <cellStyle name="Total 4 3 2" xfId="5624"/>
    <cellStyle name="Total 4 3 3" xfId="5625"/>
    <cellStyle name="Total 4 3 4" xfId="5626"/>
    <cellStyle name="Total 4 4" xfId="5627"/>
    <cellStyle name="Total 4 5" xfId="5628"/>
    <cellStyle name="Total 4 6" xfId="5629"/>
    <cellStyle name="Total 40" xfId="5630"/>
    <cellStyle name="Total 41" xfId="5631"/>
    <cellStyle name="Total 42" xfId="5632"/>
    <cellStyle name="Total 43" xfId="5633"/>
    <cellStyle name="Total 44" xfId="5634"/>
    <cellStyle name="Total 5" xfId="5635"/>
    <cellStyle name="Total 5 2" xfId="5636"/>
    <cellStyle name="Total 5 2 2" xfId="5637"/>
    <cellStyle name="Total 5 2 3" xfId="5638"/>
    <cellStyle name="Total 5 2 4" xfId="5639"/>
    <cellStyle name="Total 5 3" xfId="5640"/>
    <cellStyle name="Total 5 3 2" xfId="5641"/>
    <cellStyle name="Total 5 3 3" xfId="5642"/>
    <cellStyle name="Total 5 3 4" xfId="5643"/>
    <cellStyle name="Total 5 4" xfId="5644"/>
    <cellStyle name="Total 5 5" xfId="5645"/>
    <cellStyle name="Total 5 6" xfId="5646"/>
    <cellStyle name="Total 6" xfId="5647"/>
    <cellStyle name="Total 6 2" xfId="5648"/>
    <cellStyle name="Total 6 3" xfId="5649"/>
    <cellStyle name="Total 6 4" xfId="5650"/>
    <cellStyle name="Total 7" xfId="5651"/>
    <cellStyle name="Total 7 2" xfId="5652"/>
    <cellStyle name="Total 7 3" xfId="5653"/>
    <cellStyle name="Total 7 4" xfId="5654"/>
    <cellStyle name="Total 8" xfId="5655"/>
    <cellStyle name="Total 9" xfId="5656"/>
    <cellStyle name="TotalCurrency" xfId="5657"/>
    <cellStyle name="Underline_Single" xfId="5658"/>
    <cellStyle name="Unit" xfId="5659"/>
    <cellStyle name="Validation" xfId="5660"/>
    <cellStyle name="Valiotsikko" xfId="5661"/>
    <cellStyle name="Vдliotsikko" xfId="5662"/>
    <cellStyle name="Währung [0]_Compiling Utility Macros" xfId="5663"/>
    <cellStyle name="Währung_Compiling Utility Macros" xfId="5664"/>
    <cellStyle name="Warning Text" xfId="5665"/>
    <cellStyle name="Wдhrung [0]_Compiling Utility Macros" xfId="5666"/>
    <cellStyle name="Wдhrung_Compiling Utility Macros" xfId="5667"/>
    <cellStyle name="year" xfId="5668"/>
    <cellStyle name="Year EN" xfId="5669"/>
    <cellStyle name="Year RU" xfId="5670"/>
    <cellStyle name="YelNumbersCurr" xfId="5671"/>
    <cellStyle name="YelNumbersCurr 2" xfId="5672"/>
    <cellStyle name="YelNumbersCurr 3" xfId="5673"/>
    <cellStyle name="Акцент1 10" xfId="5674"/>
    <cellStyle name="Акцент1 2" xfId="5675"/>
    <cellStyle name="Акцент1 2 2" xfId="5676"/>
    <cellStyle name="Акцент1 3" xfId="5677"/>
    <cellStyle name="Акцент1 3 2" xfId="5678"/>
    <cellStyle name="Акцент1 4" xfId="5679"/>
    <cellStyle name="Акцент1 4 2" xfId="5680"/>
    <cellStyle name="Акцент1 5" xfId="5681"/>
    <cellStyle name="Акцент1 5 2" xfId="5682"/>
    <cellStyle name="Акцент1 6" xfId="5683"/>
    <cellStyle name="Акцент1 6 2" xfId="5684"/>
    <cellStyle name="Акцент1 7" xfId="5685"/>
    <cellStyle name="Акцент1 7 2" xfId="5686"/>
    <cellStyle name="Акцент1 8" xfId="5687"/>
    <cellStyle name="Акцент1 8 2" xfId="5688"/>
    <cellStyle name="Акцент1 9" xfId="5689"/>
    <cellStyle name="Акцент1 9 2" xfId="5690"/>
    <cellStyle name="Акцент2 10" xfId="5691"/>
    <cellStyle name="Акцент2 2" xfId="5692"/>
    <cellStyle name="Акцент2 2 2" xfId="5693"/>
    <cellStyle name="Акцент2 3" xfId="5694"/>
    <cellStyle name="Акцент2 3 2" xfId="5695"/>
    <cellStyle name="Акцент2 4" xfId="5696"/>
    <cellStyle name="Акцент2 4 2" xfId="5697"/>
    <cellStyle name="Акцент2 5" xfId="5698"/>
    <cellStyle name="Акцент2 5 2" xfId="5699"/>
    <cellStyle name="Акцент2 6" xfId="5700"/>
    <cellStyle name="Акцент2 6 2" xfId="5701"/>
    <cellStyle name="Акцент2 7" xfId="5702"/>
    <cellStyle name="Акцент2 7 2" xfId="5703"/>
    <cellStyle name="Акцент2 8" xfId="5704"/>
    <cellStyle name="Акцент2 8 2" xfId="5705"/>
    <cellStyle name="Акцент2 9" xfId="5706"/>
    <cellStyle name="Акцент2 9 2" xfId="5707"/>
    <cellStyle name="Акцент3 10" xfId="5708"/>
    <cellStyle name="Акцент3 2" xfId="5709"/>
    <cellStyle name="Акцент3 2 2" xfId="5710"/>
    <cellStyle name="Акцент3 3" xfId="5711"/>
    <cellStyle name="Акцент3 3 2" xfId="5712"/>
    <cellStyle name="Акцент3 4" xfId="5713"/>
    <cellStyle name="Акцент3 4 2" xfId="5714"/>
    <cellStyle name="Акцент3 5" xfId="5715"/>
    <cellStyle name="Акцент3 5 2" xfId="5716"/>
    <cellStyle name="Акцент3 6" xfId="5717"/>
    <cellStyle name="Акцент3 6 2" xfId="5718"/>
    <cellStyle name="Акцент3 7" xfId="5719"/>
    <cellStyle name="Акцент3 7 2" xfId="5720"/>
    <cellStyle name="Акцент3 8" xfId="5721"/>
    <cellStyle name="Акцент3 8 2" xfId="5722"/>
    <cellStyle name="Акцент3 9" xfId="5723"/>
    <cellStyle name="Акцент3 9 2" xfId="5724"/>
    <cellStyle name="Акцент4 10" xfId="5725"/>
    <cellStyle name="Акцент4 2" xfId="5726"/>
    <cellStyle name="Акцент4 2 2" xfId="5727"/>
    <cellStyle name="Акцент4 3" xfId="5728"/>
    <cellStyle name="Акцент4 3 2" xfId="5729"/>
    <cellStyle name="Акцент4 4" xfId="5730"/>
    <cellStyle name="Акцент4 4 2" xfId="5731"/>
    <cellStyle name="Акцент4 5" xfId="5732"/>
    <cellStyle name="Акцент4 5 2" xfId="5733"/>
    <cellStyle name="Акцент4 6" xfId="5734"/>
    <cellStyle name="Акцент4 6 2" xfId="5735"/>
    <cellStyle name="Акцент4 7" xfId="5736"/>
    <cellStyle name="Акцент4 7 2" xfId="5737"/>
    <cellStyle name="Акцент4 8" xfId="5738"/>
    <cellStyle name="Акцент4 8 2" xfId="5739"/>
    <cellStyle name="Акцент4 9" xfId="5740"/>
    <cellStyle name="Акцент4 9 2" xfId="5741"/>
    <cellStyle name="Акцент5 10" xfId="5742"/>
    <cellStyle name="Акцент5 2" xfId="5743"/>
    <cellStyle name="Акцент5 2 2" xfId="5744"/>
    <cellStyle name="Акцент5 3" xfId="5745"/>
    <cellStyle name="Акцент5 3 2" xfId="5746"/>
    <cellStyle name="Акцент5 4" xfId="5747"/>
    <cellStyle name="Акцент5 4 2" xfId="5748"/>
    <cellStyle name="Акцент5 5" xfId="5749"/>
    <cellStyle name="Акцент5 5 2" xfId="5750"/>
    <cellStyle name="Акцент5 6" xfId="5751"/>
    <cellStyle name="Акцент5 6 2" xfId="5752"/>
    <cellStyle name="Акцент5 7" xfId="5753"/>
    <cellStyle name="Акцент5 7 2" xfId="5754"/>
    <cellStyle name="Акцент5 8" xfId="5755"/>
    <cellStyle name="Акцент5 8 2" xfId="5756"/>
    <cellStyle name="Акцент5 9" xfId="5757"/>
    <cellStyle name="Акцент5 9 2" xfId="5758"/>
    <cellStyle name="Акцент6 10" xfId="5759"/>
    <cellStyle name="Акцент6 2" xfId="5760"/>
    <cellStyle name="Акцент6 2 2" xfId="5761"/>
    <cellStyle name="Акцент6 3" xfId="5762"/>
    <cellStyle name="Акцент6 3 2" xfId="5763"/>
    <cellStyle name="Акцент6 4" xfId="5764"/>
    <cellStyle name="Акцент6 4 2" xfId="5765"/>
    <cellStyle name="Акцент6 5" xfId="5766"/>
    <cellStyle name="Акцент6 5 2" xfId="5767"/>
    <cellStyle name="Акцент6 6" xfId="5768"/>
    <cellStyle name="Акцент6 6 2" xfId="5769"/>
    <cellStyle name="Акцент6 7" xfId="5770"/>
    <cellStyle name="Акцент6 7 2" xfId="5771"/>
    <cellStyle name="Акцент6 8" xfId="5772"/>
    <cellStyle name="Акцент6 8 2" xfId="5773"/>
    <cellStyle name="Акцент6 9" xfId="5774"/>
    <cellStyle name="Акцент6 9 2" xfId="5775"/>
    <cellStyle name="Беззащитный" xfId="5776"/>
    <cellStyle name="Беззащитный 2" xfId="5777"/>
    <cellStyle name="Беззащитный 3" xfId="5778"/>
    <cellStyle name="Беззащитный 4" xfId="5779"/>
    <cellStyle name="Ввод  10" xfId="5780"/>
    <cellStyle name="Ввод  10 2" xfId="5781"/>
    <cellStyle name="Ввод  10 2 2" xfId="5782"/>
    <cellStyle name="Ввод  10 2 2 2" xfId="5783"/>
    <cellStyle name="Ввод  10 2 2 3" xfId="5784"/>
    <cellStyle name="Ввод  10 2 2 4" xfId="5785"/>
    <cellStyle name="Ввод  10 2 3" xfId="5786"/>
    <cellStyle name="Ввод  10 2 4" xfId="5787"/>
    <cellStyle name="Ввод  10 2 5" xfId="5788"/>
    <cellStyle name="Ввод  10 3" xfId="5789"/>
    <cellStyle name="Ввод  10 3 2" xfId="5790"/>
    <cellStyle name="Ввод  10 3 2 2" xfId="5791"/>
    <cellStyle name="Ввод  10 3 2 3" xfId="5792"/>
    <cellStyle name="Ввод  10 3 2 4" xfId="5793"/>
    <cellStyle name="Ввод  10 3 3" xfId="5794"/>
    <cellStyle name="Ввод  10 3 4" xfId="5795"/>
    <cellStyle name="Ввод  10 3 5" xfId="5796"/>
    <cellStyle name="Ввод  10 4" xfId="5797"/>
    <cellStyle name="Ввод  10 4 2" xfId="5798"/>
    <cellStyle name="Ввод  10 4 2 2" xfId="5799"/>
    <cellStyle name="Ввод  10 4 2 3" xfId="5800"/>
    <cellStyle name="Ввод  10 4 2 4" xfId="5801"/>
    <cellStyle name="Ввод  10 4 3" xfId="5802"/>
    <cellStyle name="Ввод  10 4 4" xfId="5803"/>
    <cellStyle name="Ввод  10 4 5" xfId="5804"/>
    <cellStyle name="Ввод  10 5" xfId="5805"/>
    <cellStyle name="Ввод  10 5 2" xfId="5806"/>
    <cellStyle name="Ввод  10 5 2 2" xfId="5807"/>
    <cellStyle name="Ввод  10 5 2 3" xfId="5808"/>
    <cellStyle name="Ввод  10 5 2 4" xfId="5809"/>
    <cellStyle name="Ввод  10 5 3" xfId="5810"/>
    <cellStyle name="Ввод  10 5 4" xfId="5811"/>
    <cellStyle name="Ввод  10 5 5" xfId="5812"/>
    <cellStyle name="Ввод  10 6" xfId="5813"/>
    <cellStyle name="Ввод  10 6 2" xfId="5814"/>
    <cellStyle name="Ввод  10 6 3" xfId="5815"/>
    <cellStyle name="Ввод  10 6 4" xfId="5816"/>
    <cellStyle name="Ввод  10 7" xfId="5817"/>
    <cellStyle name="Ввод  10 8" xfId="5818"/>
    <cellStyle name="Ввод  10 9" xfId="5819"/>
    <cellStyle name="Ввод  2" xfId="5820"/>
    <cellStyle name="Ввод  2 10" xfId="5821"/>
    <cellStyle name="Ввод  2 11" xfId="5822"/>
    <cellStyle name="Ввод  2 12" xfId="5823"/>
    <cellStyle name="Ввод  2 13" xfId="5824"/>
    <cellStyle name="Ввод  2 14" xfId="5825"/>
    <cellStyle name="Ввод  2 15" xfId="5826"/>
    <cellStyle name="Ввод  2 16" xfId="5827"/>
    <cellStyle name="Ввод  2 17" xfId="5828"/>
    <cellStyle name="Ввод  2 18" xfId="5829"/>
    <cellStyle name="Ввод  2 19" xfId="5830"/>
    <cellStyle name="Ввод  2 2" xfId="5831"/>
    <cellStyle name="Ввод  2 2 2" xfId="5832"/>
    <cellStyle name="Ввод  2 2 2 2" xfId="5833"/>
    <cellStyle name="Ввод  2 2 2 2 2" xfId="5834"/>
    <cellStyle name="Ввод  2 2 2 2 3" xfId="5835"/>
    <cellStyle name="Ввод  2 2 2 2 4" xfId="5836"/>
    <cellStyle name="Ввод  2 2 2 3" xfId="5837"/>
    <cellStyle name="Ввод  2 2 2 4" xfId="5838"/>
    <cellStyle name="Ввод  2 2 2 5" xfId="5839"/>
    <cellStyle name="Ввод  2 2 3" xfId="5840"/>
    <cellStyle name="Ввод  2 2 3 2" xfId="5841"/>
    <cellStyle name="Ввод  2 2 3 2 2" xfId="5842"/>
    <cellStyle name="Ввод  2 2 3 2 3" xfId="5843"/>
    <cellStyle name="Ввод  2 2 3 2 4" xfId="5844"/>
    <cellStyle name="Ввод  2 2 3 3" xfId="5845"/>
    <cellStyle name="Ввод  2 2 3 4" xfId="5846"/>
    <cellStyle name="Ввод  2 2 3 5" xfId="5847"/>
    <cellStyle name="Ввод  2 2 4" xfId="5848"/>
    <cellStyle name="Ввод  2 2 4 2" xfId="5849"/>
    <cellStyle name="Ввод  2 2 4 2 2" xfId="5850"/>
    <cellStyle name="Ввод  2 2 4 2 3" xfId="5851"/>
    <cellStyle name="Ввод  2 2 4 2 4" xfId="5852"/>
    <cellStyle name="Ввод  2 2 4 3" xfId="5853"/>
    <cellStyle name="Ввод  2 2 4 4" xfId="5854"/>
    <cellStyle name="Ввод  2 2 4 5" xfId="5855"/>
    <cellStyle name="Ввод  2 2 5" xfId="5856"/>
    <cellStyle name="Ввод  2 2 5 2" xfId="5857"/>
    <cellStyle name="Ввод  2 2 5 2 2" xfId="5858"/>
    <cellStyle name="Ввод  2 2 5 2 3" xfId="5859"/>
    <cellStyle name="Ввод  2 2 5 2 4" xfId="5860"/>
    <cellStyle name="Ввод  2 2 5 3" xfId="5861"/>
    <cellStyle name="Ввод  2 2 5 4" xfId="5862"/>
    <cellStyle name="Ввод  2 2 5 5" xfId="5863"/>
    <cellStyle name="Ввод  2 2 6" xfId="5864"/>
    <cellStyle name="Ввод  2 2 6 2" xfId="5865"/>
    <cellStyle name="Ввод  2 2 6 3" xfId="5866"/>
    <cellStyle name="Ввод  2 2 6 4" xfId="5867"/>
    <cellStyle name="Ввод  2 2 7" xfId="5868"/>
    <cellStyle name="Ввод  2 2 8" xfId="5869"/>
    <cellStyle name="Ввод  2 2 9" xfId="5870"/>
    <cellStyle name="Ввод  2 20" xfId="5871"/>
    <cellStyle name="Ввод  2 21" xfId="5872"/>
    <cellStyle name="Ввод  2 22" xfId="5873"/>
    <cellStyle name="Ввод  2 23" xfId="5874"/>
    <cellStyle name="Ввод  2 24" xfId="5875"/>
    <cellStyle name="Ввод  2 25" xfId="5876"/>
    <cellStyle name="Ввод  2 26" xfId="5877"/>
    <cellStyle name="Ввод  2 27" xfId="5878"/>
    <cellStyle name="Ввод  2 28" xfId="5879"/>
    <cellStyle name="Ввод  2 29" xfId="5880"/>
    <cellStyle name="Ввод  2 3" xfId="5881"/>
    <cellStyle name="Ввод  2 3 2" xfId="5882"/>
    <cellStyle name="Ввод  2 3 2 2" xfId="5883"/>
    <cellStyle name="Ввод  2 3 2 3" xfId="5884"/>
    <cellStyle name="Ввод  2 3 2 4" xfId="5885"/>
    <cellStyle name="Ввод  2 3 3" xfId="5886"/>
    <cellStyle name="Ввод  2 3 4" xfId="5887"/>
    <cellStyle name="Ввод  2 3 5" xfId="5888"/>
    <cellStyle name="Ввод  2 30" xfId="5889"/>
    <cellStyle name="Ввод  2 31" xfId="5890"/>
    <cellStyle name="Ввод  2 32" xfId="5891"/>
    <cellStyle name="Ввод  2 33" xfId="5892"/>
    <cellStyle name="Ввод  2 34" xfId="5893"/>
    <cellStyle name="Ввод  2 35" xfId="5894"/>
    <cellStyle name="Ввод  2 36" xfId="5895"/>
    <cellStyle name="Ввод  2 37" xfId="5896"/>
    <cellStyle name="Ввод  2 38" xfId="5897"/>
    <cellStyle name="Ввод  2 39" xfId="5898"/>
    <cellStyle name="Ввод  2 4" xfId="5899"/>
    <cellStyle name="Ввод  2 4 2" xfId="5900"/>
    <cellStyle name="Ввод  2 4 2 2" xfId="5901"/>
    <cellStyle name="Ввод  2 4 2 3" xfId="5902"/>
    <cellStyle name="Ввод  2 4 2 4" xfId="5903"/>
    <cellStyle name="Ввод  2 4 3" xfId="5904"/>
    <cellStyle name="Ввод  2 4 4" xfId="5905"/>
    <cellStyle name="Ввод  2 4 5" xfId="5906"/>
    <cellStyle name="Ввод  2 40" xfId="5907"/>
    <cellStyle name="Ввод  2 41" xfId="5908"/>
    <cellStyle name="Ввод  2 42" xfId="5909"/>
    <cellStyle name="Ввод  2 43" xfId="5910"/>
    <cellStyle name="Ввод  2 44" xfId="5911"/>
    <cellStyle name="Ввод  2 5" xfId="5912"/>
    <cellStyle name="Ввод  2 5 2" xfId="5913"/>
    <cellStyle name="Ввод  2 5 2 2" xfId="5914"/>
    <cellStyle name="Ввод  2 5 2 3" xfId="5915"/>
    <cellStyle name="Ввод  2 5 2 4" xfId="5916"/>
    <cellStyle name="Ввод  2 5 3" xfId="5917"/>
    <cellStyle name="Ввод  2 5 4" xfId="5918"/>
    <cellStyle name="Ввод  2 5 5" xfId="5919"/>
    <cellStyle name="Ввод  2 6" xfId="5920"/>
    <cellStyle name="Ввод  2 6 2" xfId="5921"/>
    <cellStyle name="Ввод  2 6 2 2" xfId="5922"/>
    <cellStyle name="Ввод  2 6 2 3" xfId="5923"/>
    <cellStyle name="Ввод  2 6 2 4" xfId="5924"/>
    <cellStyle name="Ввод  2 6 3" xfId="5925"/>
    <cellStyle name="Ввод  2 6 4" xfId="5926"/>
    <cellStyle name="Ввод  2 6 5" xfId="5927"/>
    <cellStyle name="Ввод  2 7" xfId="5928"/>
    <cellStyle name="Ввод  2 7 2" xfId="5929"/>
    <cellStyle name="Ввод  2 7 3" xfId="5930"/>
    <cellStyle name="Ввод  2 7 4" xfId="5931"/>
    <cellStyle name="Ввод  2 8" xfId="5932"/>
    <cellStyle name="Ввод  2 8 2" xfId="5933"/>
    <cellStyle name="Ввод  2 8 3" xfId="5934"/>
    <cellStyle name="Ввод  2 8 4" xfId="5935"/>
    <cellStyle name="Ввод  2 9" xfId="5936"/>
    <cellStyle name="Ввод  2_46EE.2011(v1.0)" xfId="5937"/>
    <cellStyle name="Ввод  3" xfId="5938"/>
    <cellStyle name="Ввод  3 10" xfId="5939"/>
    <cellStyle name="Ввод  3 11" xfId="5940"/>
    <cellStyle name="Ввод  3 12" xfId="5941"/>
    <cellStyle name="Ввод  3 13" xfId="5942"/>
    <cellStyle name="Ввод  3 14" xfId="5943"/>
    <cellStyle name="Ввод  3 15" xfId="5944"/>
    <cellStyle name="Ввод  3 16" xfId="5945"/>
    <cellStyle name="Ввод  3 17" xfId="5946"/>
    <cellStyle name="Ввод  3 18" xfId="5947"/>
    <cellStyle name="Ввод  3 19" xfId="5948"/>
    <cellStyle name="Ввод  3 2" xfId="5949"/>
    <cellStyle name="Ввод  3 2 2" xfId="5950"/>
    <cellStyle name="Ввод  3 2 2 2" xfId="5951"/>
    <cellStyle name="Ввод  3 2 2 2 2" xfId="5952"/>
    <cellStyle name="Ввод  3 2 2 2 3" xfId="5953"/>
    <cellStyle name="Ввод  3 2 2 2 4" xfId="5954"/>
    <cellStyle name="Ввод  3 2 2 3" xfId="5955"/>
    <cellStyle name="Ввод  3 2 2 4" xfId="5956"/>
    <cellStyle name="Ввод  3 2 2 5" xfId="5957"/>
    <cellStyle name="Ввод  3 2 3" xfId="5958"/>
    <cellStyle name="Ввод  3 2 3 2" xfId="5959"/>
    <cellStyle name="Ввод  3 2 3 2 2" xfId="5960"/>
    <cellStyle name="Ввод  3 2 3 2 3" xfId="5961"/>
    <cellStyle name="Ввод  3 2 3 2 4" xfId="5962"/>
    <cellStyle name="Ввод  3 2 3 3" xfId="5963"/>
    <cellStyle name="Ввод  3 2 3 4" xfId="5964"/>
    <cellStyle name="Ввод  3 2 3 5" xfId="5965"/>
    <cellStyle name="Ввод  3 2 4" xfId="5966"/>
    <cellStyle name="Ввод  3 2 4 2" xfId="5967"/>
    <cellStyle name="Ввод  3 2 4 2 2" xfId="5968"/>
    <cellStyle name="Ввод  3 2 4 2 3" xfId="5969"/>
    <cellStyle name="Ввод  3 2 4 2 4" xfId="5970"/>
    <cellStyle name="Ввод  3 2 4 3" xfId="5971"/>
    <cellStyle name="Ввод  3 2 4 4" xfId="5972"/>
    <cellStyle name="Ввод  3 2 4 5" xfId="5973"/>
    <cellStyle name="Ввод  3 2 5" xfId="5974"/>
    <cellStyle name="Ввод  3 2 5 2" xfId="5975"/>
    <cellStyle name="Ввод  3 2 5 2 2" xfId="5976"/>
    <cellStyle name="Ввод  3 2 5 2 3" xfId="5977"/>
    <cellStyle name="Ввод  3 2 5 2 4" xfId="5978"/>
    <cellStyle name="Ввод  3 2 5 3" xfId="5979"/>
    <cellStyle name="Ввод  3 2 5 4" xfId="5980"/>
    <cellStyle name="Ввод  3 2 5 5" xfId="5981"/>
    <cellStyle name="Ввод  3 2 6" xfId="5982"/>
    <cellStyle name="Ввод  3 2 6 2" xfId="5983"/>
    <cellStyle name="Ввод  3 2 6 3" xfId="5984"/>
    <cellStyle name="Ввод  3 2 6 4" xfId="5985"/>
    <cellStyle name="Ввод  3 2 7" xfId="5986"/>
    <cellStyle name="Ввод  3 2 8" xfId="5987"/>
    <cellStyle name="Ввод  3 2 9" xfId="5988"/>
    <cellStyle name="Ввод  3 20" xfId="5989"/>
    <cellStyle name="Ввод  3 21" xfId="5990"/>
    <cellStyle name="Ввод  3 22" xfId="5991"/>
    <cellStyle name="Ввод  3 23" xfId="5992"/>
    <cellStyle name="Ввод  3 24" xfId="5993"/>
    <cellStyle name="Ввод  3 25" xfId="5994"/>
    <cellStyle name="Ввод  3 26" xfId="5995"/>
    <cellStyle name="Ввод  3 27" xfId="5996"/>
    <cellStyle name="Ввод  3 28" xfId="5997"/>
    <cellStyle name="Ввод  3 29" xfId="5998"/>
    <cellStyle name="Ввод  3 3" xfId="5999"/>
    <cellStyle name="Ввод  3 3 2" xfId="6000"/>
    <cellStyle name="Ввод  3 3 2 2" xfId="6001"/>
    <cellStyle name="Ввод  3 3 2 3" xfId="6002"/>
    <cellStyle name="Ввод  3 3 2 4" xfId="6003"/>
    <cellStyle name="Ввод  3 3 3" xfId="6004"/>
    <cellStyle name="Ввод  3 3 4" xfId="6005"/>
    <cellStyle name="Ввод  3 3 5" xfId="6006"/>
    <cellStyle name="Ввод  3 30" xfId="6007"/>
    <cellStyle name="Ввод  3 31" xfId="6008"/>
    <cellStyle name="Ввод  3 32" xfId="6009"/>
    <cellStyle name="Ввод  3 33" xfId="6010"/>
    <cellStyle name="Ввод  3 34" xfId="6011"/>
    <cellStyle name="Ввод  3 35" xfId="6012"/>
    <cellStyle name="Ввод  3 36" xfId="6013"/>
    <cellStyle name="Ввод  3 37" xfId="6014"/>
    <cellStyle name="Ввод  3 38" xfId="6015"/>
    <cellStyle name="Ввод  3 39" xfId="6016"/>
    <cellStyle name="Ввод  3 4" xfId="6017"/>
    <cellStyle name="Ввод  3 4 2" xfId="6018"/>
    <cellStyle name="Ввод  3 4 2 2" xfId="6019"/>
    <cellStyle name="Ввод  3 4 2 3" xfId="6020"/>
    <cellStyle name="Ввод  3 4 2 4" xfId="6021"/>
    <cellStyle name="Ввод  3 4 3" xfId="6022"/>
    <cellStyle name="Ввод  3 4 4" xfId="6023"/>
    <cellStyle name="Ввод  3 4 5" xfId="6024"/>
    <cellStyle name="Ввод  3 40" xfId="6025"/>
    <cellStyle name="Ввод  3 41" xfId="6026"/>
    <cellStyle name="Ввод  3 42" xfId="6027"/>
    <cellStyle name="Ввод  3 43" xfId="6028"/>
    <cellStyle name="Ввод  3 44" xfId="6029"/>
    <cellStyle name="Ввод  3 5" xfId="6030"/>
    <cellStyle name="Ввод  3 5 2" xfId="6031"/>
    <cellStyle name="Ввод  3 5 2 2" xfId="6032"/>
    <cellStyle name="Ввод  3 5 2 3" xfId="6033"/>
    <cellStyle name="Ввод  3 5 2 4" xfId="6034"/>
    <cellStyle name="Ввод  3 5 3" xfId="6035"/>
    <cellStyle name="Ввод  3 5 4" xfId="6036"/>
    <cellStyle name="Ввод  3 5 5" xfId="6037"/>
    <cellStyle name="Ввод  3 6" xfId="6038"/>
    <cellStyle name="Ввод  3 6 2" xfId="6039"/>
    <cellStyle name="Ввод  3 6 2 2" xfId="6040"/>
    <cellStyle name="Ввод  3 6 2 3" xfId="6041"/>
    <cellStyle name="Ввод  3 6 2 4" xfId="6042"/>
    <cellStyle name="Ввод  3 6 3" xfId="6043"/>
    <cellStyle name="Ввод  3 6 4" xfId="6044"/>
    <cellStyle name="Ввод  3 6 5" xfId="6045"/>
    <cellStyle name="Ввод  3 7" xfId="6046"/>
    <cellStyle name="Ввод  3 7 2" xfId="6047"/>
    <cellStyle name="Ввод  3 7 3" xfId="6048"/>
    <cellStyle name="Ввод  3 7 4" xfId="6049"/>
    <cellStyle name="Ввод  3 8" xfId="6050"/>
    <cellStyle name="Ввод  3 9" xfId="6051"/>
    <cellStyle name="Ввод  3_46EE.2011(v1.0)" xfId="6052"/>
    <cellStyle name="Ввод  4" xfId="6053"/>
    <cellStyle name="Ввод  4 10" xfId="6054"/>
    <cellStyle name="Ввод  4 11" xfId="6055"/>
    <cellStyle name="Ввод  4 12" xfId="6056"/>
    <cellStyle name="Ввод  4 13" xfId="6057"/>
    <cellStyle name="Ввод  4 14" xfId="6058"/>
    <cellStyle name="Ввод  4 15" xfId="6059"/>
    <cellStyle name="Ввод  4 16" xfId="6060"/>
    <cellStyle name="Ввод  4 17" xfId="6061"/>
    <cellStyle name="Ввод  4 18" xfId="6062"/>
    <cellStyle name="Ввод  4 19" xfId="6063"/>
    <cellStyle name="Ввод  4 2" xfId="6064"/>
    <cellStyle name="Ввод  4 2 2" xfId="6065"/>
    <cellStyle name="Ввод  4 2 2 2" xfId="6066"/>
    <cellStyle name="Ввод  4 2 2 2 2" xfId="6067"/>
    <cellStyle name="Ввод  4 2 2 2 3" xfId="6068"/>
    <cellStyle name="Ввод  4 2 2 2 4" xfId="6069"/>
    <cellStyle name="Ввод  4 2 2 3" xfId="6070"/>
    <cellStyle name="Ввод  4 2 2 4" xfId="6071"/>
    <cellStyle name="Ввод  4 2 2 5" xfId="6072"/>
    <cellStyle name="Ввод  4 2 3" xfId="6073"/>
    <cellStyle name="Ввод  4 2 3 2" xfId="6074"/>
    <cellStyle name="Ввод  4 2 3 2 2" xfId="6075"/>
    <cellStyle name="Ввод  4 2 3 2 3" xfId="6076"/>
    <cellStyle name="Ввод  4 2 3 2 4" xfId="6077"/>
    <cellStyle name="Ввод  4 2 3 3" xfId="6078"/>
    <cellStyle name="Ввод  4 2 3 4" xfId="6079"/>
    <cellStyle name="Ввод  4 2 3 5" xfId="6080"/>
    <cellStyle name="Ввод  4 2 4" xfId="6081"/>
    <cellStyle name="Ввод  4 2 4 2" xfId="6082"/>
    <cellStyle name="Ввод  4 2 4 2 2" xfId="6083"/>
    <cellStyle name="Ввод  4 2 4 2 3" xfId="6084"/>
    <cellStyle name="Ввод  4 2 4 2 4" xfId="6085"/>
    <cellStyle name="Ввод  4 2 4 3" xfId="6086"/>
    <cellStyle name="Ввод  4 2 4 4" xfId="6087"/>
    <cellStyle name="Ввод  4 2 4 5" xfId="6088"/>
    <cellStyle name="Ввод  4 2 5" xfId="6089"/>
    <cellStyle name="Ввод  4 2 5 2" xfId="6090"/>
    <cellStyle name="Ввод  4 2 5 2 2" xfId="6091"/>
    <cellStyle name="Ввод  4 2 5 2 3" xfId="6092"/>
    <cellStyle name="Ввод  4 2 5 2 4" xfId="6093"/>
    <cellStyle name="Ввод  4 2 5 3" xfId="6094"/>
    <cellStyle name="Ввод  4 2 5 4" xfId="6095"/>
    <cellStyle name="Ввод  4 2 5 5" xfId="6096"/>
    <cellStyle name="Ввод  4 2 6" xfId="6097"/>
    <cellStyle name="Ввод  4 2 6 2" xfId="6098"/>
    <cellStyle name="Ввод  4 2 6 3" xfId="6099"/>
    <cellStyle name="Ввод  4 2 6 4" xfId="6100"/>
    <cellStyle name="Ввод  4 2 7" xfId="6101"/>
    <cellStyle name="Ввод  4 2 8" xfId="6102"/>
    <cellStyle name="Ввод  4 2 9" xfId="6103"/>
    <cellStyle name="Ввод  4 20" xfId="6104"/>
    <cellStyle name="Ввод  4 21" xfId="6105"/>
    <cellStyle name="Ввод  4 22" xfId="6106"/>
    <cellStyle name="Ввод  4 23" xfId="6107"/>
    <cellStyle name="Ввод  4 24" xfId="6108"/>
    <cellStyle name="Ввод  4 25" xfId="6109"/>
    <cellStyle name="Ввод  4 26" xfId="6110"/>
    <cellStyle name="Ввод  4 27" xfId="6111"/>
    <cellStyle name="Ввод  4 28" xfId="6112"/>
    <cellStyle name="Ввод  4 29" xfId="6113"/>
    <cellStyle name="Ввод  4 3" xfId="6114"/>
    <cellStyle name="Ввод  4 3 2" xfId="6115"/>
    <cellStyle name="Ввод  4 3 2 2" xfId="6116"/>
    <cellStyle name="Ввод  4 3 2 3" xfId="6117"/>
    <cellStyle name="Ввод  4 3 2 4" xfId="6118"/>
    <cellStyle name="Ввод  4 3 3" xfId="6119"/>
    <cellStyle name="Ввод  4 3 4" xfId="6120"/>
    <cellStyle name="Ввод  4 3 5" xfId="6121"/>
    <cellStyle name="Ввод  4 30" xfId="6122"/>
    <cellStyle name="Ввод  4 31" xfId="6123"/>
    <cellStyle name="Ввод  4 32" xfId="6124"/>
    <cellStyle name="Ввод  4 33" xfId="6125"/>
    <cellStyle name="Ввод  4 34" xfId="6126"/>
    <cellStyle name="Ввод  4 35" xfId="6127"/>
    <cellStyle name="Ввод  4 36" xfId="6128"/>
    <cellStyle name="Ввод  4 37" xfId="6129"/>
    <cellStyle name="Ввод  4 38" xfId="6130"/>
    <cellStyle name="Ввод  4 39" xfId="6131"/>
    <cellStyle name="Ввод  4 4" xfId="6132"/>
    <cellStyle name="Ввод  4 4 2" xfId="6133"/>
    <cellStyle name="Ввод  4 4 2 2" xfId="6134"/>
    <cellStyle name="Ввод  4 4 2 3" xfId="6135"/>
    <cellStyle name="Ввод  4 4 2 4" xfId="6136"/>
    <cellStyle name="Ввод  4 4 3" xfId="6137"/>
    <cellStyle name="Ввод  4 4 4" xfId="6138"/>
    <cellStyle name="Ввод  4 4 5" xfId="6139"/>
    <cellStyle name="Ввод  4 40" xfId="6140"/>
    <cellStyle name="Ввод  4 41" xfId="6141"/>
    <cellStyle name="Ввод  4 42" xfId="6142"/>
    <cellStyle name="Ввод  4 43" xfId="6143"/>
    <cellStyle name="Ввод  4 44" xfId="6144"/>
    <cellStyle name="Ввод  4 5" xfId="6145"/>
    <cellStyle name="Ввод  4 5 2" xfId="6146"/>
    <cellStyle name="Ввод  4 5 2 2" xfId="6147"/>
    <cellStyle name="Ввод  4 5 2 3" xfId="6148"/>
    <cellStyle name="Ввод  4 5 2 4" xfId="6149"/>
    <cellStyle name="Ввод  4 5 3" xfId="6150"/>
    <cellStyle name="Ввод  4 5 4" xfId="6151"/>
    <cellStyle name="Ввод  4 5 5" xfId="6152"/>
    <cellStyle name="Ввод  4 6" xfId="6153"/>
    <cellStyle name="Ввод  4 6 2" xfId="6154"/>
    <cellStyle name="Ввод  4 6 2 2" xfId="6155"/>
    <cellStyle name="Ввод  4 6 2 3" xfId="6156"/>
    <cellStyle name="Ввод  4 6 2 4" xfId="6157"/>
    <cellStyle name="Ввод  4 6 3" xfId="6158"/>
    <cellStyle name="Ввод  4 6 4" xfId="6159"/>
    <cellStyle name="Ввод  4 6 5" xfId="6160"/>
    <cellStyle name="Ввод  4 7" xfId="6161"/>
    <cellStyle name="Ввод  4 7 2" xfId="6162"/>
    <cellStyle name="Ввод  4 7 3" xfId="6163"/>
    <cellStyle name="Ввод  4 7 4" xfId="6164"/>
    <cellStyle name="Ввод  4 8" xfId="6165"/>
    <cellStyle name="Ввод  4 9" xfId="6166"/>
    <cellStyle name="Ввод  4_46EE.2011(v1.0)" xfId="6167"/>
    <cellStyle name="Ввод  5" xfId="6168"/>
    <cellStyle name="Ввод  5 10" xfId="6169"/>
    <cellStyle name="Ввод  5 11" xfId="6170"/>
    <cellStyle name="Ввод  5 12" xfId="6171"/>
    <cellStyle name="Ввод  5 13" xfId="6172"/>
    <cellStyle name="Ввод  5 14" xfId="6173"/>
    <cellStyle name="Ввод  5 15" xfId="6174"/>
    <cellStyle name="Ввод  5 16" xfId="6175"/>
    <cellStyle name="Ввод  5 17" xfId="6176"/>
    <cellStyle name="Ввод  5 18" xfId="6177"/>
    <cellStyle name="Ввод  5 19" xfId="6178"/>
    <cellStyle name="Ввод  5 2" xfId="6179"/>
    <cellStyle name="Ввод  5 2 2" xfId="6180"/>
    <cellStyle name="Ввод  5 2 2 2" xfId="6181"/>
    <cellStyle name="Ввод  5 2 2 2 2" xfId="6182"/>
    <cellStyle name="Ввод  5 2 2 2 3" xfId="6183"/>
    <cellStyle name="Ввод  5 2 2 2 4" xfId="6184"/>
    <cellStyle name="Ввод  5 2 2 3" xfId="6185"/>
    <cellStyle name="Ввод  5 2 2 4" xfId="6186"/>
    <cellStyle name="Ввод  5 2 2 5" xfId="6187"/>
    <cellStyle name="Ввод  5 2 3" xfId="6188"/>
    <cellStyle name="Ввод  5 2 3 2" xfId="6189"/>
    <cellStyle name="Ввод  5 2 3 2 2" xfId="6190"/>
    <cellStyle name="Ввод  5 2 3 2 3" xfId="6191"/>
    <cellStyle name="Ввод  5 2 3 2 4" xfId="6192"/>
    <cellStyle name="Ввод  5 2 3 3" xfId="6193"/>
    <cellStyle name="Ввод  5 2 3 4" xfId="6194"/>
    <cellStyle name="Ввод  5 2 3 5" xfId="6195"/>
    <cellStyle name="Ввод  5 2 4" xfId="6196"/>
    <cellStyle name="Ввод  5 2 4 2" xfId="6197"/>
    <cellStyle name="Ввод  5 2 4 2 2" xfId="6198"/>
    <cellStyle name="Ввод  5 2 4 2 3" xfId="6199"/>
    <cellStyle name="Ввод  5 2 4 2 4" xfId="6200"/>
    <cellStyle name="Ввод  5 2 4 3" xfId="6201"/>
    <cellStyle name="Ввод  5 2 4 4" xfId="6202"/>
    <cellStyle name="Ввод  5 2 4 5" xfId="6203"/>
    <cellStyle name="Ввод  5 2 5" xfId="6204"/>
    <cellStyle name="Ввод  5 2 5 2" xfId="6205"/>
    <cellStyle name="Ввод  5 2 5 2 2" xfId="6206"/>
    <cellStyle name="Ввод  5 2 5 2 3" xfId="6207"/>
    <cellStyle name="Ввод  5 2 5 2 4" xfId="6208"/>
    <cellStyle name="Ввод  5 2 5 3" xfId="6209"/>
    <cellStyle name="Ввод  5 2 5 4" xfId="6210"/>
    <cellStyle name="Ввод  5 2 5 5" xfId="6211"/>
    <cellStyle name="Ввод  5 2 6" xfId="6212"/>
    <cellStyle name="Ввод  5 2 6 2" xfId="6213"/>
    <cellStyle name="Ввод  5 2 6 3" xfId="6214"/>
    <cellStyle name="Ввод  5 2 6 4" xfId="6215"/>
    <cellStyle name="Ввод  5 2 7" xfId="6216"/>
    <cellStyle name="Ввод  5 2 8" xfId="6217"/>
    <cellStyle name="Ввод  5 2 9" xfId="6218"/>
    <cellStyle name="Ввод  5 20" xfId="6219"/>
    <cellStyle name="Ввод  5 21" xfId="6220"/>
    <cellStyle name="Ввод  5 22" xfId="6221"/>
    <cellStyle name="Ввод  5 23" xfId="6222"/>
    <cellStyle name="Ввод  5 24" xfId="6223"/>
    <cellStyle name="Ввод  5 25" xfId="6224"/>
    <cellStyle name="Ввод  5 26" xfId="6225"/>
    <cellStyle name="Ввод  5 27" xfId="6226"/>
    <cellStyle name="Ввод  5 28" xfId="6227"/>
    <cellStyle name="Ввод  5 29" xfId="6228"/>
    <cellStyle name="Ввод  5 3" xfId="6229"/>
    <cellStyle name="Ввод  5 3 2" xfId="6230"/>
    <cellStyle name="Ввод  5 3 2 2" xfId="6231"/>
    <cellStyle name="Ввод  5 3 2 3" xfId="6232"/>
    <cellStyle name="Ввод  5 3 2 4" xfId="6233"/>
    <cellStyle name="Ввод  5 3 3" xfId="6234"/>
    <cellStyle name="Ввод  5 3 4" xfId="6235"/>
    <cellStyle name="Ввод  5 3 5" xfId="6236"/>
    <cellStyle name="Ввод  5 30" xfId="6237"/>
    <cellStyle name="Ввод  5 31" xfId="6238"/>
    <cellStyle name="Ввод  5 32" xfId="6239"/>
    <cellStyle name="Ввод  5 33" xfId="6240"/>
    <cellStyle name="Ввод  5 34" xfId="6241"/>
    <cellStyle name="Ввод  5 35" xfId="6242"/>
    <cellStyle name="Ввод  5 36" xfId="6243"/>
    <cellStyle name="Ввод  5 37" xfId="6244"/>
    <cellStyle name="Ввод  5 38" xfId="6245"/>
    <cellStyle name="Ввод  5 39" xfId="6246"/>
    <cellStyle name="Ввод  5 4" xfId="6247"/>
    <cellStyle name="Ввод  5 4 2" xfId="6248"/>
    <cellStyle name="Ввод  5 4 2 2" xfId="6249"/>
    <cellStyle name="Ввод  5 4 2 3" xfId="6250"/>
    <cellStyle name="Ввод  5 4 2 4" xfId="6251"/>
    <cellStyle name="Ввод  5 4 3" xfId="6252"/>
    <cellStyle name="Ввод  5 4 4" xfId="6253"/>
    <cellStyle name="Ввод  5 4 5" xfId="6254"/>
    <cellStyle name="Ввод  5 40" xfId="6255"/>
    <cellStyle name="Ввод  5 41" xfId="6256"/>
    <cellStyle name="Ввод  5 42" xfId="6257"/>
    <cellStyle name="Ввод  5 43" xfId="6258"/>
    <cellStyle name="Ввод  5 44" xfId="6259"/>
    <cellStyle name="Ввод  5 5" xfId="6260"/>
    <cellStyle name="Ввод  5 5 2" xfId="6261"/>
    <cellStyle name="Ввод  5 5 2 2" xfId="6262"/>
    <cellStyle name="Ввод  5 5 2 3" xfId="6263"/>
    <cellStyle name="Ввод  5 5 2 4" xfId="6264"/>
    <cellStyle name="Ввод  5 5 3" xfId="6265"/>
    <cellStyle name="Ввод  5 5 4" xfId="6266"/>
    <cellStyle name="Ввод  5 5 5" xfId="6267"/>
    <cellStyle name="Ввод  5 6" xfId="6268"/>
    <cellStyle name="Ввод  5 6 2" xfId="6269"/>
    <cellStyle name="Ввод  5 6 2 2" xfId="6270"/>
    <cellStyle name="Ввод  5 6 2 3" xfId="6271"/>
    <cellStyle name="Ввод  5 6 2 4" xfId="6272"/>
    <cellStyle name="Ввод  5 6 3" xfId="6273"/>
    <cellStyle name="Ввод  5 6 4" xfId="6274"/>
    <cellStyle name="Ввод  5 6 5" xfId="6275"/>
    <cellStyle name="Ввод  5 7" xfId="6276"/>
    <cellStyle name="Ввод  5 7 2" xfId="6277"/>
    <cellStyle name="Ввод  5 7 3" xfId="6278"/>
    <cellStyle name="Ввод  5 7 4" xfId="6279"/>
    <cellStyle name="Ввод  5 8" xfId="6280"/>
    <cellStyle name="Ввод  5 9" xfId="6281"/>
    <cellStyle name="Ввод  5_46EE.2011(v1.0)" xfId="6282"/>
    <cellStyle name="Ввод  6" xfId="6283"/>
    <cellStyle name="Ввод  6 10" xfId="6284"/>
    <cellStyle name="Ввод  6 11" xfId="6285"/>
    <cellStyle name="Ввод  6 12" xfId="6286"/>
    <cellStyle name="Ввод  6 13" xfId="6287"/>
    <cellStyle name="Ввод  6 14" xfId="6288"/>
    <cellStyle name="Ввод  6 15" xfId="6289"/>
    <cellStyle name="Ввод  6 16" xfId="6290"/>
    <cellStyle name="Ввод  6 17" xfId="6291"/>
    <cellStyle name="Ввод  6 18" xfId="6292"/>
    <cellStyle name="Ввод  6 19" xfId="6293"/>
    <cellStyle name="Ввод  6 2" xfId="6294"/>
    <cellStyle name="Ввод  6 2 2" xfId="6295"/>
    <cellStyle name="Ввод  6 2 2 2" xfId="6296"/>
    <cellStyle name="Ввод  6 2 2 2 2" xfId="6297"/>
    <cellStyle name="Ввод  6 2 2 2 3" xfId="6298"/>
    <cellStyle name="Ввод  6 2 2 2 4" xfId="6299"/>
    <cellStyle name="Ввод  6 2 2 3" xfId="6300"/>
    <cellStyle name="Ввод  6 2 2 4" xfId="6301"/>
    <cellStyle name="Ввод  6 2 2 5" xfId="6302"/>
    <cellStyle name="Ввод  6 2 3" xfId="6303"/>
    <cellStyle name="Ввод  6 2 3 2" xfId="6304"/>
    <cellStyle name="Ввод  6 2 3 2 2" xfId="6305"/>
    <cellStyle name="Ввод  6 2 3 2 3" xfId="6306"/>
    <cellStyle name="Ввод  6 2 3 2 4" xfId="6307"/>
    <cellStyle name="Ввод  6 2 3 3" xfId="6308"/>
    <cellStyle name="Ввод  6 2 3 4" xfId="6309"/>
    <cellStyle name="Ввод  6 2 3 5" xfId="6310"/>
    <cellStyle name="Ввод  6 2 4" xfId="6311"/>
    <cellStyle name="Ввод  6 2 4 2" xfId="6312"/>
    <cellStyle name="Ввод  6 2 4 2 2" xfId="6313"/>
    <cellStyle name="Ввод  6 2 4 2 3" xfId="6314"/>
    <cellStyle name="Ввод  6 2 4 2 4" xfId="6315"/>
    <cellStyle name="Ввод  6 2 4 3" xfId="6316"/>
    <cellStyle name="Ввод  6 2 4 4" xfId="6317"/>
    <cellStyle name="Ввод  6 2 4 5" xfId="6318"/>
    <cellStyle name="Ввод  6 2 5" xfId="6319"/>
    <cellStyle name="Ввод  6 2 5 2" xfId="6320"/>
    <cellStyle name="Ввод  6 2 5 2 2" xfId="6321"/>
    <cellStyle name="Ввод  6 2 5 2 3" xfId="6322"/>
    <cellStyle name="Ввод  6 2 5 2 4" xfId="6323"/>
    <cellStyle name="Ввод  6 2 5 3" xfId="6324"/>
    <cellStyle name="Ввод  6 2 5 4" xfId="6325"/>
    <cellStyle name="Ввод  6 2 5 5" xfId="6326"/>
    <cellStyle name="Ввод  6 2 6" xfId="6327"/>
    <cellStyle name="Ввод  6 2 6 2" xfId="6328"/>
    <cellStyle name="Ввод  6 2 6 3" xfId="6329"/>
    <cellStyle name="Ввод  6 2 6 4" xfId="6330"/>
    <cellStyle name="Ввод  6 2 7" xfId="6331"/>
    <cellStyle name="Ввод  6 2 8" xfId="6332"/>
    <cellStyle name="Ввод  6 2 9" xfId="6333"/>
    <cellStyle name="Ввод  6 20" xfId="6334"/>
    <cellStyle name="Ввод  6 21" xfId="6335"/>
    <cellStyle name="Ввод  6 22" xfId="6336"/>
    <cellStyle name="Ввод  6 23" xfId="6337"/>
    <cellStyle name="Ввод  6 24" xfId="6338"/>
    <cellStyle name="Ввод  6 25" xfId="6339"/>
    <cellStyle name="Ввод  6 26" xfId="6340"/>
    <cellStyle name="Ввод  6 27" xfId="6341"/>
    <cellStyle name="Ввод  6 28" xfId="6342"/>
    <cellStyle name="Ввод  6 29" xfId="6343"/>
    <cellStyle name="Ввод  6 3" xfId="6344"/>
    <cellStyle name="Ввод  6 3 2" xfId="6345"/>
    <cellStyle name="Ввод  6 3 2 2" xfId="6346"/>
    <cellStyle name="Ввод  6 3 2 3" xfId="6347"/>
    <cellStyle name="Ввод  6 3 2 4" xfId="6348"/>
    <cellStyle name="Ввод  6 3 3" xfId="6349"/>
    <cellStyle name="Ввод  6 3 4" xfId="6350"/>
    <cellStyle name="Ввод  6 3 5" xfId="6351"/>
    <cellStyle name="Ввод  6 30" xfId="6352"/>
    <cellStyle name="Ввод  6 31" xfId="6353"/>
    <cellStyle name="Ввод  6 32" xfId="6354"/>
    <cellStyle name="Ввод  6 33" xfId="6355"/>
    <cellStyle name="Ввод  6 34" xfId="6356"/>
    <cellStyle name="Ввод  6 35" xfId="6357"/>
    <cellStyle name="Ввод  6 36" xfId="6358"/>
    <cellStyle name="Ввод  6 37" xfId="6359"/>
    <cellStyle name="Ввод  6 38" xfId="6360"/>
    <cellStyle name="Ввод  6 39" xfId="6361"/>
    <cellStyle name="Ввод  6 4" xfId="6362"/>
    <cellStyle name="Ввод  6 4 2" xfId="6363"/>
    <cellStyle name="Ввод  6 4 2 2" xfId="6364"/>
    <cellStyle name="Ввод  6 4 2 3" xfId="6365"/>
    <cellStyle name="Ввод  6 4 2 4" xfId="6366"/>
    <cellStyle name="Ввод  6 4 3" xfId="6367"/>
    <cellStyle name="Ввод  6 4 4" xfId="6368"/>
    <cellStyle name="Ввод  6 4 5" xfId="6369"/>
    <cellStyle name="Ввод  6 40" xfId="6370"/>
    <cellStyle name="Ввод  6 41" xfId="6371"/>
    <cellStyle name="Ввод  6 42" xfId="6372"/>
    <cellStyle name="Ввод  6 43" xfId="6373"/>
    <cellStyle name="Ввод  6 44" xfId="6374"/>
    <cellStyle name="Ввод  6 5" xfId="6375"/>
    <cellStyle name="Ввод  6 5 2" xfId="6376"/>
    <cellStyle name="Ввод  6 5 2 2" xfId="6377"/>
    <cellStyle name="Ввод  6 5 2 3" xfId="6378"/>
    <cellStyle name="Ввод  6 5 2 4" xfId="6379"/>
    <cellStyle name="Ввод  6 5 3" xfId="6380"/>
    <cellStyle name="Ввод  6 5 4" xfId="6381"/>
    <cellStyle name="Ввод  6 5 5" xfId="6382"/>
    <cellStyle name="Ввод  6 6" xfId="6383"/>
    <cellStyle name="Ввод  6 6 2" xfId="6384"/>
    <cellStyle name="Ввод  6 6 2 2" xfId="6385"/>
    <cellStyle name="Ввод  6 6 2 3" xfId="6386"/>
    <cellStyle name="Ввод  6 6 2 4" xfId="6387"/>
    <cellStyle name="Ввод  6 6 3" xfId="6388"/>
    <cellStyle name="Ввод  6 6 4" xfId="6389"/>
    <cellStyle name="Ввод  6 6 5" xfId="6390"/>
    <cellStyle name="Ввод  6 7" xfId="6391"/>
    <cellStyle name="Ввод  6 7 2" xfId="6392"/>
    <cellStyle name="Ввод  6 7 3" xfId="6393"/>
    <cellStyle name="Ввод  6 7 4" xfId="6394"/>
    <cellStyle name="Ввод  6 8" xfId="6395"/>
    <cellStyle name="Ввод  6 9" xfId="6396"/>
    <cellStyle name="Ввод  6_46EE.2011(v1.0)" xfId="6397"/>
    <cellStyle name="Ввод  7" xfId="6398"/>
    <cellStyle name="Ввод  7 10" xfId="6399"/>
    <cellStyle name="Ввод  7 11" xfId="6400"/>
    <cellStyle name="Ввод  7 12" xfId="6401"/>
    <cellStyle name="Ввод  7 13" xfId="6402"/>
    <cellStyle name="Ввод  7 14" xfId="6403"/>
    <cellStyle name="Ввод  7 15" xfId="6404"/>
    <cellStyle name="Ввод  7 16" xfId="6405"/>
    <cellStyle name="Ввод  7 17" xfId="6406"/>
    <cellStyle name="Ввод  7 18" xfId="6407"/>
    <cellStyle name="Ввод  7 19" xfId="6408"/>
    <cellStyle name="Ввод  7 2" xfId="6409"/>
    <cellStyle name="Ввод  7 2 2" xfId="6410"/>
    <cellStyle name="Ввод  7 2 2 2" xfId="6411"/>
    <cellStyle name="Ввод  7 2 2 2 2" xfId="6412"/>
    <cellStyle name="Ввод  7 2 2 2 3" xfId="6413"/>
    <cellStyle name="Ввод  7 2 2 2 4" xfId="6414"/>
    <cellStyle name="Ввод  7 2 2 3" xfId="6415"/>
    <cellStyle name="Ввод  7 2 2 4" xfId="6416"/>
    <cellStyle name="Ввод  7 2 2 5" xfId="6417"/>
    <cellStyle name="Ввод  7 2 3" xfId="6418"/>
    <cellStyle name="Ввод  7 2 3 2" xfId="6419"/>
    <cellStyle name="Ввод  7 2 3 2 2" xfId="6420"/>
    <cellStyle name="Ввод  7 2 3 2 3" xfId="6421"/>
    <cellStyle name="Ввод  7 2 3 2 4" xfId="6422"/>
    <cellStyle name="Ввод  7 2 3 3" xfId="6423"/>
    <cellStyle name="Ввод  7 2 3 4" xfId="6424"/>
    <cellStyle name="Ввод  7 2 3 5" xfId="6425"/>
    <cellStyle name="Ввод  7 2 4" xfId="6426"/>
    <cellStyle name="Ввод  7 2 4 2" xfId="6427"/>
    <cellStyle name="Ввод  7 2 4 2 2" xfId="6428"/>
    <cellStyle name="Ввод  7 2 4 2 3" xfId="6429"/>
    <cellStyle name="Ввод  7 2 4 2 4" xfId="6430"/>
    <cellStyle name="Ввод  7 2 4 3" xfId="6431"/>
    <cellStyle name="Ввод  7 2 4 4" xfId="6432"/>
    <cellStyle name="Ввод  7 2 4 5" xfId="6433"/>
    <cellStyle name="Ввод  7 2 5" xfId="6434"/>
    <cellStyle name="Ввод  7 2 5 2" xfId="6435"/>
    <cellStyle name="Ввод  7 2 5 2 2" xfId="6436"/>
    <cellStyle name="Ввод  7 2 5 2 3" xfId="6437"/>
    <cellStyle name="Ввод  7 2 5 2 4" xfId="6438"/>
    <cellStyle name="Ввод  7 2 5 3" xfId="6439"/>
    <cellStyle name="Ввод  7 2 5 4" xfId="6440"/>
    <cellStyle name="Ввод  7 2 5 5" xfId="6441"/>
    <cellStyle name="Ввод  7 2 6" xfId="6442"/>
    <cellStyle name="Ввод  7 2 6 2" xfId="6443"/>
    <cellStyle name="Ввод  7 2 6 3" xfId="6444"/>
    <cellStyle name="Ввод  7 2 6 4" xfId="6445"/>
    <cellStyle name="Ввод  7 2 7" xfId="6446"/>
    <cellStyle name="Ввод  7 2 8" xfId="6447"/>
    <cellStyle name="Ввод  7 2 9" xfId="6448"/>
    <cellStyle name="Ввод  7 20" xfId="6449"/>
    <cellStyle name="Ввод  7 21" xfId="6450"/>
    <cellStyle name="Ввод  7 22" xfId="6451"/>
    <cellStyle name="Ввод  7 23" xfId="6452"/>
    <cellStyle name="Ввод  7 24" xfId="6453"/>
    <cellStyle name="Ввод  7 25" xfId="6454"/>
    <cellStyle name="Ввод  7 26" xfId="6455"/>
    <cellStyle name="Ввод  7 27" xfId="6456"/>
    <cellStyle name="Ввод  7 28" xfId="6457"/>
    <cellStyle name="Ввод  7 29" xfId="6458"/>
    <cellStyle name="Ввод  7 3" xfId="6459"/>
    <cellStyle name="Ввод  7 3 2" xfId="6460"/>
    <cellStyle name="Ввод  7 3 2 2" xfId="6461"/>
    <cellStyle name="Ввод  7 3 2 3" xfId="6462"/>
    <cellStyle name="Ввод  7 3 2 4" xfId="6463"/>
    <cellStyle name="Ввод  7 3 3" xfId="6464"/>
    <cellStyle name="Ввод  7 3 4" xfId="6465"/>
    <cellStyle name="Ввод  7 3 5" xfId="6466"/>
    <cellStyle name="Ввод  7 30" xfId="6467"/>
    <cellStyle name="Ввод  7 31" xfId="6468"/>
    <cellStyle name="Ввод  7 32" xfId="6469"/>
    <cellStyle name="Ввод  7 33" xfId="6470"/>
    <cellStyle name="Ввод  7 34" xfId="6471"/>
    <cellStyle name="Ввод  7 35" xfId="6472"/>
    <cellStyle name="Ввод  7 36" xfId="6473"/>
    <cellStyle name="Ввод  7 37" xfId="6474"/>
    <cellStyle name="Ввод  7 38" xfId="6475"/>
    <cellStyle name="Ввод  7 39" xfId="6476"/>
    <cellStyle name="Ввод  7 4" xfId="6477"/>
    <cellStyle name="Ввод  7 4 2" xfId="6478"/>
    <cellStyle name="Ввод  7 4 2 2" xfId="6479"/>
    <cellStyle name="Ввод  7 4 2 3" xfId="6480"/>
    <cellStyle name="Ввод  7 4 2 4" xfId="6481"/>
    <cellStyle name="Ввод  7 4 3" xfId="6482"/>
    <cellStyle name="Ввод  7 4 4" xfId="6483"/>
    <cellStyle name="Ввод  7 4 5" xfId="6484"/>
    <cellStyle name="Ввод  7 40" xfId="6485"/>
    <cellStyle name="Ввод  7 41" xfId="6486"/>
    <cellStyle name="Ввод  7 42" xfId="6487"/>
    <cellStyle name="Ввод  7 43" xfId="6488"/>
    <cellStyle name="Ввод  7 44" xfId="6489"/>
    <cellStyle name="Ввод  7 5" xfId="6490"/>
    <cellStyle name="Ввод  7 5 2" xfId="6491"/>
    <cellStyle name="Ввод  7 5 2 2" xfId="6492"/>
    <cellStyle name="Ввод  7 5 2 3" xfId="6493"/>
    <cellStyle name="Ввод  7 5 2 4" xfId="6494"/>
    <cellStyle name="Ввод  7 5 3" xfId="6495"/>
    <cellStyle name="Ввод  7 5 4" xfId="6496"/>
    <cellStyle name="Ввод  7 5 5" xfId="6497"/>
    <cellStyle name="Ввод  7 6" xfId="6498"/>
    <cellStyle name="Ввод  7 6 2" xfId="6499"/>
    <cellStyle name="Ввод  7 6 2 2" xfId="6500"/>
    <cellStyle name="Ввод  7 6 2 3" xfId="6501"/>
    <cellStyle name="Ввод  7 6 2 4" xfId="6502"/>
    <cellStyle name="Ввод  7 6 3" xfId="6503"/>
    <cellStyle name="Ввод  7 6 4" xfId="6504"/>
    <cellStyle name="Ввод  7 6 5" xfId="6505"/>
    <cellStyle name="Ввод  7 7" xfId="6506"/>
    <cellStyle name="Ввод  7 7 2" xfId="6507"/>
    <cellStyle name="Ввод  7 7 3" xfId="6508"/>
    <cellStyle name="Ввод  7 7 4" xfId="6509"/>
    <cellStyle name="Ввод  7 8" xfId="6510"/>
    <cellStyle name="Ввод  7 9" xfId="6511"/>
    <cellStyle name="Ввод  7_46EE.2011(v1.0)" xfId="6512"/>
    <cellStyle name="Ввод  8" xfId="6513"/>
    <cellStyle name="Ввод  8 10" xfId="6514"/>
    <cellStyle name="Ввод  8 2" xfId="6515"/>
    <cellStyle name="Ввод  8 2 2" xfId="6516"/>
    <cellStyle name="Ввод  8 2 2 2" xfId="6517"/>
    <cellStyle name="Ввод  8 2 2 2 2" xfId="6518"/>
    <cellStyle name="Ввод  8 2 2 2 3" xfId="6519"/>
    <cellStyle name="Ввод  8 2 2 2 4" xfId="6520"/>
    <cellStyle name="Ввод  8 2 2 3" xfId="6521"/>
    <cellStyle name="Ввод  8 2 2 4" xfId="6522"/>
    <cellStyle name="Ввод  8 2 2 5" xfId="6523"/>
    <cellStyle name="Ввод  8 2 3" xfId="6524"/>
    <cellStyle name="Ввод  8 2 3 2" xfId="6525"/>
    <cellStyle name="Ввод  8 2 3 2 2" xfId="6526"/>
    <cellStyle name="Ввод  8 2 3 2 3" xfId="6527"/>
    <cellStyle name="Ввод  8 2 3 2 4" xfId="6528"/>
    <cellStyle name="Ввод  8 2 3 3" xfId="6529"/>
    <cellStyle name="Ввод  8 2 3 4" xfId="6530"/>
    <cellStyle name="Ввод  8 2 3 5" xfId="6531"/>
    <cellStyle name="Ввод  8 2 4" xfId="6532"/>
    <cellStyle name="Ввод  8 2 4 2" xfId="6533"/>
    <cellStyle name="Ввод  8 2 4 2 2" xfId="6534"/>
    <cellStyle name="Ввод  8 2 4 2 3" xfId="6535"/>
    <cellStyle name="Ввод  8 2 4 2 4" xfId="6536"/>
    <cellStyle name="Ввод  8 2 4 3" xfId="6537"/>
    <cellStyle name="Ввод  8 2 4 4" xfId="6538"/>
    <cellStyle name="Ввод  8 2 4 5" xfId="6539"/>
    <cellStyle name="Ввод  8 2 5" xfId="6540"/>
    <cellStyle name="Ввод  8 2 5 2" xfId="6541"/>
    <cellStyle name="Ввод  8 2 5 2 2" xfId="6542"/>
    <cellStyle name="Ввод  8 2 5 2 3" xfId="6543"/>
    <cellStyle name="Ввод  8 2 5 2 4" xfId="6544"/>
    <cellStyle name="Ввод  8 2 5 3" xfId="6545"/>
    <cellStyle name="Ввод  8 2 5 4" xfId="6546"/>
    <cellStyle name="Ввод  8 2 5 5" xfId="6547"/>
    <cellStyle name="Ввод  8 2 6" xfId="6548"/>
    <cellStyle name="Ввод  8 2 6 2" xfId="6549"/>
    <cellStyle name="Ввод  8 2 6 3" xfId="6550"/>
    <cellStyle name="Ввод  8 2 6 4" xfId="6551"/>
    <cellStyle name="Ввод  8 2 7" xfId="6552"/>
    <cellStyle name="Ввод  8 2 8" xfId="6553"/>
    <cellStyle name="Ввод  8 2 9" xfId="6554"/>
    <cellStyle name="Ввод  8 3" xfId="6555"/>
    <cellStyle name="Ввод  8 3 2" xfId="6556"/>
    <cellStyle name="Ввод  8 3 2 2" xfId="6557"/>
    <cellStyle name="Ввод  8 3 2 3" xfId="6558"/>
    <cellStyle name="Ввод  8 3 2 4" xfId="6559"/>
    <cellStyle name="Ввод  8 3 3" xfId="6560"/>
    <cellStyle name="Ввод  8 3 4" xfId="6561"/>
    <cellStyle name="Ввод  8 3 5" xfId="6562"/>
    <cellStyle name="Ввод  8 4" xfId="6563"/>
    <cellStyle name="Ввод  8 4 2" xfId="6564"/>
    <cellStyle name="Ввод  8 4 2 2" xfId="6565"/>
    <cellStyle name="Ввод  8 4 2 3" xfId="6566"/>
    <cellStyle name="Ввод  8 4 2 4" xfId="6567"/>
    <cellStyle name="Ввод  8 4 3" xfId="6568"/>
    <cellStyle name="Ввод  8 4 4" xfId="6569"/>
    <cellStyle name="Ввод  8 4 5" xfId="6570"/>
    <cellStyle name="Ввод  8 5" xfId="6571"/>
    <cellStyle name="Ввод  8 5 2" xfId="6572"/>
    <cellStyle name="Ввод  8 5 2 2" xfId="6573"/>
    <cellStyle name="Ввод  8 5 2 3" xfId="6574"/>
    <cellStyle name="Ввод  8 5 2 4" xfId="6575"/>
    <cellStyle name="Ввод  8 5 3" xfId="6576"/>
    <cellStyle name="Ввод  8 5 4" xfId="6577"/>
    <cellStyle name="Ввод  8 5 5" xfId="6578"/>
    <cellStyle name="Ввод  8 6" xfId="6579"/>
    <cellStyle name="Ввод  8 6 2" xfId="6580"/>
    <cellStyle name="Ввод  8 6 2 2" xfId="6581"/>
    <cellStyle name="Ввод  8 6 2 3" xfId="6582"/>
    <cellStyle name="Ввод  8 6 2 4" xfId="6583"/>
    <cellStyle name="Ввод  8 6 3" xfId="6584"/>
    <cellStyle name="Ввод  8 6 4" xfId="6585"/>
    <cellStyle name="Ввод  8 6 5" xfId="6586"/>
    <cellStyle name="Ввод  8 7" xfId="6587"/>
    <cellStyle name="Ввод  8 7 2" xfId="6588"/>
    <cellStyle name="Ввод  8 7 3" xfId="6589"/>
    <cellStyle name="Ввод  8 7 4" xfId="6590"/>
    <cellStyle name="Ввод  8 8" xfId="6591"/>
    <cellStyle name="Ввод  8 9" xfId="6592"/>
    <cellStyle name="Ввод  8_46EE.2011(v1.0)" xfId="6593"/>
    <cellStyle name="Ввод  9" xfId="6594"/>
    <cellStyle name="Ввод  9 10" xfId="6595"/>
    <cellStyle name="Ввод  9 2" xfId="6596"/>
    <cellStyle name="Ввод  9 2 2" xfId="6597"/>
    <cellStyle name="Ввод  9 2 2 2" xfId="6598"/>
    <cellStyle name="Ввод  9 2 2 2 2" xfId="6599"/>
    <cellStyle name="Ввод  9 2 2 2 3" xfId="6600"/>
    <cellStyle name="Ввод  9 2 2 2 4" xfId="6601"/>
    <cellStyle name="Ввод  9 2 2 3" xfId="6602"/>
    <cellStyle name="Ввод  9 2 2 4" xfId="6603"/>
    <cellStyle name="Ввод  9 2 2 5" xfId="6604"/>
    <cellStyle name="Ввод  9 2 3" xfId="6605"/>
    <cellStyle name="Ввод  9 2 3 2" xfId="6606"/>
    <cellStyle name="Ввод  9 2 3 2 2" xfId="6607"/>
    <cellStyle name="Ввод  9 2 3 2 3" xfId="6608"/>
    <cellStyle name="Ввод  9 2 3 2 4" xfId="6609"/>
    <cellStyle name="Ввод  9 2 3 3" xfId="6610"/>
    <cellStyle name="Ввод  9 2 3 4" xfId="6611"/>
    <cellStyle name="Ввод  9 2 3 5" xfId="6612"/>
    <cellStyle name="Ввод  9 2 4" xfId="6613"/>
    <cellStyle name="Ввод  9 2 4 2" xfId="6614"/>
    <cellStyle name="Ввод  9 2 4 2 2" xfId="6615"/>
    <cellStyle name="Ввод  9 2 4 2 3" xfId="6616"/>
    <cellStyle name="Ввод  9 2 4 2 4" xfId="6617"/>
    <cellStyle name="Ввод  9 2 4 3" xfId="6618"/>
    <cellStyle name="Ввод  9 2 4 4" xfId="6619"/>
    <cellStyle name="Ввод  9 2 4 5" xfId="6620"/>
    <cellStyle name="Ввод  9 2 5" xfId="6621"/>
    <cellStyle name="Ввод  9 2 5 2" xfId="6622"/>
    <cellStyle name="Ввод  9 2 5 2 2" xfId="6623"/>
    <cellStyle name="Ввод  9 2 5 2 3" xfId="6624"/>
    <cellStyle name="Ввод  9 2 5 2 4" xfId="6625"/>
    <cellStyle name="Ввод  9 2 5 3" xfId="6626"/>
    <cellStyle name="Ввод  9 2 5 4" xfId="6627"/>
    <cellStyle name="Ввод  9 2 5 5" xfId="6628"/>
    <cellStyle name="Ввод  9 2 6" xfId="6629"/>
    <cellStyle name="Ввод  9 2 6 2" xfId="6630"/>
    <cellStyle name="Ввод  9 2 6 3" xfId="6631"/>
    <cellStyle name="Ввод  9 2 6 4" xfId="6632"/>
    <cellStyle name="Ввод  9 2 7" xfId="6633"/>
    <cellStyle name="Ввод  9 2 8" xfId="6634"/>
    <cellStyle name="Ввод  9 2 9" xfId="6635"/>
    <cellStyle name="Ввод  9 3" xfId="6636"/>
    <cellStyle name="Ввод  9 3 2" xfId="6637"/>
    <cellStyle name="Ввод  9 3 2 2" xfId="6638"/>
    <cellStyle name="Ввод  9 3 2 3" xfId="6639"/>
    <cellStyle name="Ввод  9 3 2 4" xfId="6640"/>
    <cellStyle name="Ввод  9 3 3" xfId="6641"/>
    <cellStyle name="Ввод  9 3 4" xfId="6642"/>
    <cellStyle name="Ввод  9 3 5" xfId="6643"/>
    <cellStyle name="Ввод  9 4" xfId="6644"/>
    <cellStyle name="Ввод  9 4 2" xfId="6645"/>
    <cellStyle name="Ввод  9 4 2 2" xfId="6646"/>
    <cellStyle name="Ввод  9 4 2 3" xfId="6647"/>
    <cellStyle name="Ввод  9 4 2 4" xfId="6648"/>
    <cellStyle name="Ввод  9 4 3" xfId="6649"/>
    <cellStyle name="Ввод  9 4 4" xfId="6650"/>
    <cellStyle name="Ввод  9 4 5" xfId="6651"/>
    <cellStyle name="Ввод  9 5" xfId="6652"/>
    <cellStyle name="Ввод  9 5 2" xfId="6653"/>
    <cellStyle name="Ввод  9 5 2 2" xfId="6654"/>
    <cellStyle name="Ввод  9 5 2 3" xfId="6655"/>
    <cellStyle name="Ввод  9 5 2 4" xfId="6656"/>
    <cellStyle name="Ввод  9 5 3" xfId="6657"/>
    <cellStyle name="Ввод  9 5 4" xfId="6658"/>
    <cellStyle name="Ввод  9 5 5" xfId="6659"/>
    <cellStyle name="Ввод  9 6" xfId="6660"/>
    <cellStyle name="Ввод  9 6 2" xfId="6661"/>
    <cellStyle name="Ввод  9 6 2 2" xfId="6662"/>
    <cellStyle name="Ввод  9 6 2 3" xfId="6663"/>
    <cellStyle name="Ввод  9 6 2 4" xfId="6664"/>
    <cellStyle name="Ввод  9 6 3" xfId="6665"/>
    <cellStyle name="Ввод  9 6 4" xfId="6666"/>
    <cellStyle name="Ввод  9 6 5" xfId="6667"/>
    <cellStyle name="Ввод  9 7" xfId="6668"/>
    <cellStyle name="Ввод  9 7 2" xfId="6669"/>
    <cellStyle name="Ввод  9 7 3" xfId="6670"/>
    <cellStyle name="Ввод  9 7 4" xfId="6671"/>
    <cellStyle name="Ввод  9 8" xfId="6672"/>
    <cellStyle name="Ввод  9 9" xfId="6673"/>
    <cellStyle name="Ввод  9_46EE.2011(v1.0)" xfId="6674"/>
    <cellStyle name="Верт. заголовок" xfId="6675"/>
    <cellStyle name="Вес_продукта" xfId="6676"/>
    <cellStyle name="Вывод 10" xfId="6677"/>
    <cellStyle name="Вывод 10 2" xfId="6678"/>
    <cellStyle name="Вывод 10 2 2" xfId="6679"/>
    <cellStyle name="Вывод 10 2 2 2" xfId="6680"/>
    <cellStyle name="Вывод 10 2 2 3" xfId="6681"/>
    <cellStyle name="Вывод 10 2 2 4" xfId="6682"/>
    <cellStyle name="Вывод 10 2 3" xfId="6683"/>
    <cellStyle name="Вывод 10 2 4" xfId="6684"/>
    <cellStyle name="Вывод 10 2 5" xfId="6685"/>
    <cellStyle name="Вывод 10 3" xfId="6686"/>
    <cellStyle name="Вывод 10 3 2" xfId="6687"/>
    <cellStyle name="Вывод 10 3 2 2" xfId="6688"/>
    <cellStyle name="Вывод 10 3 2 3" xfId="6689"/>
    <cellStyle name="Вывод 10 3 2 4" xfId="6690"/>
    <cellStyle name="Вывод 10 3 3" xfId="6691"/>
    <cellStyle name="Вывод 10 3 4" xfId="6692"/>
    <cellStyle name="Вывод 10 3 5" xfId="6693"/>
    <cellStyle name="Вывод 10 4" xfId="6694"/>
    <cellStyle name="Вывод 10 4 2" xfId="6695"/>
    <cellStyle name="Вывод 10 4 2 2" xfId="6696"/>
    <cellStyle name="Вывод 10 4 2 3" xfId="6697"/>
    <cellStyle name="Вывод 10 4 2 4" xfId="6698"/>
    <cellStyle name="Вывод 10 4 3" xfId="6699"/>
    <cellStyle name="Вывод 10 4 4" xfId="6700"/>
    <cellStyle name="Вывод 10 4 5" xfId="6701"/>
    <cellStyle name="Вывод 10 5" xfId="6702"/>
    <cellStyle name="Вывод 10 5 2" xfId="6703"/>
    <cellStyle name="Вывод 10 5 2 2" xfId="6704"/>
    <cellStyle name="Вывод 10 5 2 3" xfId="6705"/>
    <cellStyle name="Вывод 10 5 2 4" xfId="6706"/>
    <cellStyle name="Вывод 10 5 3" xfId="6707"/>
    <cellStyle name="Вывод 10 5 4" xfId="6708"/>
    <cellStyle name="Вывод 10 5 5" xfId="6709"/>
    <cellStyle name="Вывод 10 6" xfId="6710"/>
    <cellStyle name="Вывод 10 6 2" xfId="6711"/>
    <cellStyle name="Вывод 10 6 3" xfId="6712"/>
    <cellStyle name="Вывод 10 6 4" xfId="6713"/>
    <cellStyle name="Вывод 10 7" xfId="6714"/>
    <cellStyle name="Вывод 10 8" xfId="6715"/>
    <cellStyle name="Вывод 10 9" xfId="6716"/>
    <cellStyle name="Вывод 2" xfId="6717"/>
    <cellStyle name="Вывод 2 10" xfId="6718"/>
    <cellStyle name="Вывод 2 11" xfId="6719"/>
    <cellStyle name="Вывод 2 12" xfId="6720"/>
    <cellStyle name="Вывод 2 13" xfId="6721"/>
    <cellStyle name="Вывод 2 14" xfId="6722"/>
    <cellStyle name="Вывод 2 15" xfId="6723"/>
    <cellStyle name="Вывод 2 16" xfId="6724"/>
    <cellStyle name="Вывод 2 17" xfId="6725"/>
    <cellStyle name="Вывод 2 18" xfId="6726"/>
    <cellStyle name="Вывод 2 19" xfId="6727"/>
    <cellStyle name="Вывод 2 2" xfId="6728"/>
    <cellStyle name="Вывод 2 2 2" xfId="6729"/>
    <cellStyle name="Вывод 2 2 2 2" xfId="6730"/>
    <cellStyle name="Вывод 2 2 2 2 2" xfId="6731"/>
    <cellStyle name="Вывод 2 2 2 2 3" xfId="6732"/>
    <cellStyle name="Вывод 2 2 2 2 4" xfId="6733"/>
    <cellStyle name="Вывод 2 2 2 3" xfId="6734"/>
    <cellStyle name="Вывод 2 2 2 4" xfId="6735"/>
    <cellStyle name="Вывод 2 2 2 5" xfId="6736"/>
    <cellStyle name="Вывод 2 2 3" xfId="6737"/>
    <cellStyle name="Вывод 2 2 3 2" xfId="6738"/>
    <cellStyle name="Вывод 2 2 3 2 2" xfId="6739"/>
    <cellStyle name="Вывод 2 2 3 2 3" xfId="6740"/>
    <cellStyle name="Вывод 2 2 3 2 4" xfId="6741"/>
    <cellStyle name="Вывод 2 2 3 3" xfId="6742"/>
    <cellStyle name="Вывод 2 2 3 4" xfId="6743"/>
    <cellStyle name="Вывод 2 2 3 5" xfId="6744"/>
    <cellStyle name="Вывод 2 2 4" xfId="6745"/>
    <cellStyle name="Вывод 2 2 4 2" xfId="6746"/>
    <cellStyle name="Вывод 2 2 4 2 2" xfId="6747"/>
    <cellStyle name="Вывод 2 2 4 2 3" xfId="6748"/>
    <cellStyle name="Вывод 2 2 4 2 4" xfId="6749"/>
    <cellStyle name="Вывод 2 2 4 3" xfId="6750"/>
    <cellStyle name="Вывод 2 2 4 4" xfId="6751"/>
    <cellStyle name="Вывод 2 2 4 5" xfId="6752"/>
    <cellStyle name="Вывод 2 2 5" xfId="6753"/>
    <cellStyle name="Вывод 2 2 5 2" xfId="6754"/>
    <cellStyle name="Вывод 2 2 5 2 2" xfId="6755"/>
    <cellStyle name="Вывод 2 2 5 2 3" xfId="6756"/>
    <cellStyle name="Вывод 2 2 5 2 4" xfId="6757"/>
    <cellStyle name="Вывод 2 2 5 3" xfId="6758"/>
    <cellStyle name="Вывод 2 2 5 4" xfId="6759"/>
    <cellStyle name="Вывод 2 2 5 5" xfId="6760"/>
    <cellStyle name="Вывод 2 2 6" xfId="6761"/>
    <cellStyle name="Вывод 2 2 6 2" xfId="6762"/>
    <cellStyle name="Вывод 2 2 6 3" xfId="6763"/>
    <cellStyle name="Вывод 2 2 6 4" xfId="6764"/>
    <cellStyle name="Вывод 2 2 7" xfId="6765"/>
    <cellStyle name="Вывод 2 2 8" xfId="6766"/>
    <cellStyle name="Вывод 2 2 9" xfId="6767"/>
    <cellStyle name="Вывод 2 20" xfId="6768"/>
    <cellStyle name="Вывод 2 21" xfId="6769"/>
    <cellStyle name="Вывод 2 22" xfId="6770"/>
    <cellStyle name="Вывод 2 23" xfId="6771"/>
    <cellStyle name="Вывод 2 24" xfId="6772"/>
    <cellStyle name="Вывод 2 25" xfId="6773"/>
    <cellStyle name="Вывод 2 26" xfId="6774"/>
    <cellStyle name="Вывод 2 27" xfId="6775"/>
    <cellStyle name="Вывод 2 28" xfId="6776"/>
    <cellStyle name="Вывод 2 29" xfId="6777"/>
    <cellStyle name="Вывод 2 3" xfId="6778"/>
    <cellStyle name="Вывод 2 3 2" xfId="6779"/>
    <cellStyle name="Вывод 2 3 2 2" xfId="6780"/>
    <cellStyle name="Вывод 2 3 2 3" xfId="6781"/>
    <cellStyle name="Вывод 2 3 2 4" xfId="6782"/>
    <cellStyle name="Вывод 2 3 3" xfId="6783"/>
    <cellStyle name="Вывод 2 3 4" xfId="6784"/>
    <cellStyle name="Вывод 2 3 5" xfId="6785"/>
    <cellStyle name="Вывод 2 30" xfId="6786"/>
    <cellStyle name="Вывод 2 31" xfId="6787"/>
    <cellStyle name="Вывод 2 32" xfId="6788"/>
    <cellStyle name="Вывод 2 33" xfId="6789"/>
    <cellStyle name="Вывод 2 34" xfId="6790"/>
    <cellStyle name="Вывод 2 35" xfId="6791"/>
    <cellStyle name="Вывод 2 36" xfId="6792"/>
    <cellStyle name="Вывод 2 37" xfId="6793"/>
    <cellStyle name="Вывод 2 38" xfId="6794"/>
    <cellStyle name="Вывод 2 39" xfId="6795"/>
    <cellStyle name="Вывод 2 4" xfId="6796"/>
    <cellStyle name="Вывод 2 4 2" xfId="6797"/>
    <cellStyle name="Вывод 2 4 2 2" xfId="6798"/>
    <cellStyle name="Вывод 2 4 2 3" xfId="6799"/>
    <cellStyle name="Вывод 2 4 2 4" xfId="6800"/>
    <cellStyle name="Вывод 2 4 3" xfId="6801"/>
    <cellStyle name="Вывод 2 4 4" xfId="6802"/>
    <cellStyle name="Вывод 2 4 5" xfId="6803"/>
    <cellStyle name="Вывод 2 40" xfId="6804"/>
    <cellStyle name="Вывод 2 41" xfId="6805"/>
    <cellStyle name="Вывод 2 42" xfId="6806"/>
    <cellStyle name="Вывод 2 43" xfId="6807"/>
    <cellStyle name="Вывод 2 44" xfId="6808"/>
    <cellStyle name="Вывод 2 5" xfId="6809"/>
    <cellStyle name="Вывод 2 5 2" xfId="6810"/>
    <cellStyle name="Вывод 2 5 2 2" xfId="6811"/>
    <cellStyle name="Вывод 2 5 2 3" xfId="6812"/>
    <cellStyle name="Вывод 2 5 2 4" xfId="6813"/>
    <cellStyle name="Вывод 2 5 3" xfId="6814"/>
    <cellStyle name="Вывод 2 5 4" xfId="6815"/>
    <cellStyle name="Вывод 2 5 5" xfId="6816"/>
    <cellStyle name="Вывод 2 6" xfId="6817"/>
    <cellStyle name="Вывод 2 6 2" xfId="6818"/>
    <cellStyle name="Вывод 2 6 2 2" xfId="6819"/>
    <cellStyle name="Вывод 2 6 2 3" xfId="6820"/>
    <cellStyle name="Вывод 2 6 2 4" xfId="6821"/>
    <cellStyle name="Вывод 2 6 3" xfId="6822"/>
    <cellStyle name="Вывод 2 6 4" xfId="6823"/>
    <cellStyle name="Вывод 2 6 5" xfId="6824"/>
    <cellStyle name="Вывод 2 7" xfId="6825"/>
    <cellStyle name="Вывод 2 7 2" xfId="6826"/>
    <cellStyle name="Вывод 2 7 3" xfId="6827"/>
    <cellStyle name="Вывод 2 7 4" xfId="6828"/>
    <cellStyle name="Вывод 2 8" xfId="6829"/>
    <cellStyle name="Вывод 2 9" xfId="6830"/>
    <cellStyle name="Вывод 2_46EE.2011(v1.0)" xfId="6831"/>
    <cellStyle name="Вывод 3" xfId="6832"/>
    <cellStyle name="Вывод 3 10" xfId="6833"/>
    <cellStyle name="Вывод 3 11" xfId="6834"/>
    <cellStyle name="Вывод 3 12" xfId="6835"/>
    <cellStyle name="Вывод 3 13" xfId="6836"/>
    <cellStyle name="Вывод 3 14" xfId="6837"/>
    <cellStyle name="Вывод 3 15" xfId="6838"/>
    <cellStyle name="Вывод 3 16" xfId="6839"/>
    <cellStyle name="Вывод 3 17" xfId="6840"/>
    <cellStyle name="Вывод 3 18" xfId="6841"/>
    <cellStyle name="Вывод 3 19" xfId="6842"/>
    <cellStyle name="Вывод 3 2" xfId="6843"/>
    <cellStyle name="Вывод 3 2 2" xfId="6844"/>
    <cellStyle name="Вывод 3 2 2 2" xfId="6845"/>
    <cellStyle name="Вывод 3 2 2 2 2" xfId="6846"/>
    <cellStyle name="Вывод 3 2 2 2 3" xfId="6847"/>
    <cellStyle name="Вывод 3 2 2 2 4" xfId="6848"/>
    <cellStyle name="Вывод 3 2 2 3" xfId="6849"/>
    <cellStyle name="Вывод 3 2 2 4" xfId="6850"/>
    <cellStyle name="Вывод 3 2 2 5" xfId="6851"/>
    <cellStyle name="Вывод 3 2 3" xfId="6852"/>
    <cellStyle name="Вывод 3 2 3 2" xfId="6853"/>
    <cellStyle name="Вывод 3 2 3 2 2" xfId="6854"/>
    <cellStyle name="Вывод 3 2 3 2 3" xfId="6855"/>
    <cellStyle name="Вывод 3 2 3 2 4" xfId="6856"/>
    <cellStyle name="Вывод 3 2 3 3" xfId="6857"/>
    <cellStyle name="Вывод 3 2 3 4" xfId="6858"/>
    <cellStyle name="Вывод 3 2 3 5" xfId="6859"/>
    <cellStyle name="Вывод 3 2 4" xfId="6860"/>
    <cellStyle name="Вывод 3 2 4 2" xfId="6861"/>
    <cellStyle name="Вывод 3 2 4 2 2" xfId="6862"/>
    <cellStyle name="Вывод 3 2 4 2 3" xfId="6863"/>
    <cellStyle name="Вывод 3 2 4 2 4" xfId="6864"/>
    <cellStyle name="Вывод 3 2 4 3" xfId="6865"/>
    <cellStyle name="Вывод 3 2 4 4" xfId="6866"/>
    <cellStyle name="Вывод 3 2 4 5" xfId="6867"/>
    <cellStyle name="Вывод 3 2 5" xfId="6868"/>
    <cellStyle name="Вывод 3 2 5 2" xfId="6869"/>
    <cellStyle name="Вывод 3 2 5 2 2" xfId="6870"/>
    <cellStyle name="Вывод 3 2 5 2 3" xfId="6871"/>
    <cellStyle name="Вывод 3 2 5 2 4" xfId="6872"/>
    <cellStyle name="Вывод 3 2 5 3" xfId="6873"/>
    <cellStyle name="Вывод 3 2 5 4" xfId="6874"/>
    <cellStyle name="Вывод 3 2 5 5" xfId="6875"/>
    <cellStyle name="Вывод 3 2 6" xfId="6876"/>
    <cellStyle name="Вывод 3 2 6 2" xfId="6877"/>
    <cellStyle name="Вывод 3 2 6 3" xfId="6878"/>
    <cellStyle name="Вывод 3 2 6 4" xfId="6879"/>
    <cellStyle name="Вывод 3 2 7" xfId="6880"/>
    <cellStyle name="Вывод 3 2 8" xfId="6881"/>
    <cellStyle name="Вывод 3 2 9" xfId="6882"/>
    <cellStyle name="Вывод 3 20" xfId="6883"/>
    <cellStyle name="Вывод 3 21" xfId="6884"/>
    <cellStyle name="Вывод 3 22" xfId="6885"/>
    <cellStyle name="Вывод 3 23" xfId="6886"/>
    <cellStyle name="Вывод 3 24" xfId="6887"/>
    <cellStyle name="Вывод 3 25" xfId="6888"/>
    <cellStyle name="Вывод 3 26" xfId="6889"/>
    <cellStyle name="Вывод 3 27" xfId="6890"/>
    <cellStyle name="Вывод 3 28" xfId="6891"/>
    <cellStyle name="Вывод 3 29" xfId="6892"/>
    <cellStyle name="Вывод 3 3" xfId="6893"/>
    <cellStyle name="Вывод 3 3 2" xfId="6894"/>
    <cellStyle name="Вывод 3 3 2 2" xfId="6895"/>
    <cellStyle name="Вывод 3 3 2 3" xfId="6896"/>
    <cellStyle name="Вывод 3 3 2 4" xfId="6897"/>
    <cellStyle name="Вывод 3 3 3" xfId="6898"/>
    <cellStyle name="Вывод 3 3 4" xfId="6899"/>
    <cellStyle name="Вывод 3 3 5" xfId="6900"/>
    <cellStyle name="Вывод 3 30" xfId="6901"/>
    <cellStyle name="Вывод 3 31" xfId="6902"/>
    <cellStyle name="Вывод 3 32" xfId="6903"/>
    <cellStyle name="Вывод 3 33" xfId="6904"/>
    <cellStyle name="Вывод 3 34" xfId="6905"/>
    <cellStyle name="Вывод 3 35" xfId="6906"/>
    <cellStyle name="Вывод 3 36" xfId="6907"/>
    <cellStyle name="Вывод 3 37" xfId="6908"/>
    <cellStyle name="Вывод 3 38" xfId="6909"/>
    <cellStyle name="Вывод 3 39" xfId="6910"/>
    <cellStyle name="Вывод 3 4" xfId="6911"/>
    <cellStyle name="Вывод 3 4 2" xfId="6912"/>
    <cellStyle name="Вывод 3 4 2 2" xfId="6913"/>
    <cellStyle name="Вывод 3 4 2 3" xfId="6914"/>
    <cellStyle name="Вывод 3 4 2 4" xfId="6915"/>
    <cellStyle name="Вывод 3 4 3" xfId="6916"/>
    <cellStyle name="Вывод 3 4 4" xfId="6917"/>
    <cellStyle name="Вывод 3 4 5" xfId="6918"/>
    <cellStyle name="Вывод 3 40" xfId="6919"/>
    <cellStyle name="Вывод 3 41" xfId="6920"/>
    <cellStyle name="Вывод 3 42" xfId="6921"/>
    <cellStyle name="Вывод 3 43" xfId="6922"/>
    <cellStyle name="Вывод 3 44" xfId="6923"/>
    <cellStyle name="Вывод 3 5" xfId="6924"/>
    <cellStyle name="Вывод 3 5 2" xfId="6925"/>
    <cellStyle name="Вывод 3 5 2 2" xfId="6926"/>
    <cellStyle name="Вывод 3 5 2 3" xfId="6927"/>
    <cellStyle name="Вывод 3 5 2 4" xfId="6928"/>
    <cellStyle name="Вывод 3 5 3" xfId="6929"/>
    <cellStyle name="Вывод 3 5 4" xfId="6930"/>
    <cellStyle name="Вывод 3 5 5" xfId="6931"/>
    <cellStyle name="Вывод 3 6" xfId="6932"/>
    <cellStyle name="Вывод 3 6 2" xfId="6933"/>
    <cellStyle name="Вывод 3 6 2 2" xfId="6934"/>
    <cellStyle name="Вывод 3 6 2 3" xfId="6935"/>
    <cellStyle name="Вывод 3 6 2 4" xfId="6936"/>
    <cellStyle name="Вывод 3 6 3" xfId="6937"/>
    <cellStyle name="Вывод 3 6 4" xfId="6938"/>
    <cellStyle name="Вывод 3 6 5" xfId="6939"/>
    <cellStyle name="Вывод 3 7" xfId="6940"/>
    <cellStyle name="Вывод 3 7 2" xfId="6941"/>
    <cellStyle name="Вывод 3 7 3" xfId="6942"/>
    <cellStyle name="Вывод 3 7 4" xfId="6943"/>
    <cellStyle name="Вывод 3 8" xfId="6944"/>
    <cellStyle name="Вывод 3 9" xfId="6945"/>
    <cellStyle name="Вывод 3_46EE.2011(v1.0)" xfId="6946"/>
    <cellStyle name="Вывод 4" xfId="6947"/>
    <cellStyle name="Вывод 4 10" xfId="6948"/>
    <cellStyle name="Вывод 4 11" xfId="6949"/>
    <cellStyle name="Вывод 4 12" xfId="6950"/>
    <cellStyle name="Вывод 4 13" xfId="6951"/>
    <cellStyle name="Вывод 4 14" xfId="6952"/>
    <cellStyle name="Вывод 4 15" xfId="6953"/>
    <cellStyle name="Вывод 4 16" xfId="6954"/>
    <cellStyle name="Вывод 4 17" xfId="6955"/>
    <cellStyle name="Вывод 4 18" xfId="6956"/>
    <cellStyle name="Вывод 4 19" xfId="6957"/>
    <cellStyle name="Вывод 4 2" xfId="6958"/>
    <cellStyle name="Вывод 4 2 2" xfId="6959"/>
    <cellStyle name="Вывод 4 2 2 2" xfId="6960"/>
    <cellStyle name="Вывод 4 2 2 2 2" xfId="6961"/>
    <cellStyle name="Вывод 4 2 2 2 3" xfId="6962"/>
    <cellStyle name="Вывод 4 2 2 2 4" xfId="6963"/>
    <cellStyle name="Вывод 4 2 2 3" xfId="6964"/>
    <cellStyle name="Вывод 4 2 2 4" xfId="6965"/>
    <cellStyle name="Вывод 4 2 2 5" xfId="6966"/>
    <cellStyle name="Вывод 4 2 3" xfId="6967"/>
    <cellStyle name="Вывод 4 2 3 2" xfId="6968"/>
    <cellStyle name="Вывод 4 2 3 2 2" xfId="6969"/>
    <cellStyle name="Вывод 4 2 3 2 3" xfId="6970"/>
    <cellStyle name="Вывод 4 2 3 2 4" xfId="6971"/>
    <cellStyle name="Вывод 4 2 3 3" xfId="6972"/>
    <cellStyle name="Вывод 4 2 3 4" xfId="6973"/>
    <cellStyle name="Вывод 4 2 3 5" xfId="6974"/>
    <cellStyle name="Вывод 4 2 4" xfId="6975"/>
    <cellStyle name="Вывод 4 2 4 2" xfId="6976"/>
    <cellStyle name="Вывод 4 2 4 2 2" xfId="6977"/>
    <cellStyle name="Вывод 4 2 4 2 3" xfId="6978"/>
    <cellStyle name="Вывод 4 2 4 2 4" xfId="6979"/>
    <cellStyle name="Вывод 4 2 4 3" xfId="6980"/>
    <cellStyle name="Вывод 4 2 4 4" xfId="6981"/>
    <cellStyle name="Вывод 4 2 4 5" xfId="6982"/>
    <cellStyle name="Вывод 4 2 5" xfId="6983"/>
    <cellStyle name="Вывод 4 2 5 2" xfId="6984"/>
    <cellStyle name="Вывод 4 2 5 2 2" xfId="6985"/>
    <cellStyle name="Вывод 4 2 5 2 3" xfId="6986"/>
    <cellStyle name="Вывод 4 2 5 2 4" xfId="6987"/>
    <cellStyle name="Вывод 4 2 5 3" xfId="6988"/>
    <cellStyle name="Вывод 4 2 5 4" xfId="6989"/>
    <cellStyle name="Вывод 4 2 5 5" xfId="6990"/>
    <cellStyle name="Вывод 4 2 6" xfId="6991"/>
    <cellStyle name="Вывод 4 2 6 2" xfId="6992"/>
    <cellStyle name="Вывод 4 2 6 3" xfId="6993"/>
    <cellStyle name="Вывод 4 2 6 4" xfId="6994"/>
    <cellStyle name="Вывод 4 2 7" xfId="6995"/>
    <cellStyle name="Вывод 4 2 8" xfId="6996"/>
    <cellStyle name="Вывод 4 2 9" xfId="6997"/>
    <cellStyle name="Вывод 4 20" xfId="6998"/>
    <cellStyle name="Вывод 4 21" xfId="6999"/>
    <cellStyle name="Вывод 4 22" xfId="7000"/>
    <cellStyle name="Вывод 4 23" xfId="7001"/>
    <cellStyle name="Вывод 4 24" xfId="7002"/>
    <cellStyle name="Вывод 4 25" xfId="7003"/>
    <cellStyle name="Вывод 4 26" xfId="7004"/>
    <cellStyle name="Вывод 4 27" xfId="7005"/>
    <cellStyle name="Вывод 4 28" xfId="7006"/>
    <cellStyle name="Вывод 4 29" xfId="7007"/>
    <cellStyle name="Вывод 4 3" xfId="7008"/>
    <cellStyle name="Вывод 4 3 2" xfId="7009"/>
    <cellStyle name="Вывод 4 3 2 2" xfId="7010"/>
    <cellStyle name="Вывод 4 3 2 3" xfId="7011"/>
    <cellStyle name="Вывод 4 3 2 4" xfId="7012"/>
    <cellStyle name="Вывод 4 3 3" xfId="7013"/>
    <cellStyle name="Вывод 4 3 4" xfId="7014"/>
    <cellStyle name="Вывод 4 3 5" xfId="7015"/>
    <cellStyle name="Вывод 4 30" xfId="7016"/>
    <cellStyle name="Вывод 4 31" xfId="7017"/>
    <cellStyle name="Вывод 4 32" xfId="7018"/>
    <cellStyle name="Вывод 4 33" xfId="7019"/>
    <cellStyle name="Вывод 4 34" xfId="7020"/>
    <cellStyle name="Вывод 4 35" xfId="7021"/>
    <cellStyle name="Вывод 4 36" xfId="7022"/>
    <cellStyle name="Вывод 4 37" xfId="7023"/>
    <cellStyle name="Вывод 4 38" xfId="7024"/>
    <cellStyle name="Вывод 4 39" xfId="7025"/>
    <cellStyle name="Вывод 4 4" xfId="7026"/>
    <cellStyle name="Вывод 4 4 2" xfId="7027"/>
    <cellStyle name="Вывод 4 4 2 2" xfId="7028"/>
    <cellStyle name="Вывод 4 4 2 3" xfId="7029"/>
    <cellStyle name="Вывод 4 4 2 4" xfId="7030"/>
    <cellStyle name="Вывод 4 4 3" xfId="7031"/>
    <cellStyle name="Вывод 4 4 4" xfId="7032"/>
    <cellStyle name="Вывод 4 4 5" xfId="7033"/>
    <cellStyle name="Вывод 4 40" xfId="7034"/>
    <cellStyle name="Вывод 4 41" xfId="7035"/>
    <cellStyle name="Вывод 4 42" xfId="7036"/>
    <cellStyle name="Вывод 4 43" xfId="7037"/>
    <cellStyle name="Вывод 4 44" xfId="7038"/>
    <cellStyle name="Вывод 4 5" xfId="7039"/>
    <cellStyle name="Вывод 4 5 2" xfId="7040"/>
    <cellStyle name="Вывод 4 5 2 2" xfId="7041"/>
    <cellStyle name="Вывод 4 5 2 3" xfId="7042"/>
    <cellStyle name="Вывод 4 5 2 4" xfId="7043"/>
    <cellStyle name="Вывод 4 5 3" xfId="7044"/>
    <cellStyle name="Вывод 4 5 4" xfId="7045"/>
    <cellStyle name="Вывод 4 5 5" xfId="7046"/>
    <cellStyle name="Вывод 4 6" xfId="7047"/>
    <cellStyle name="Вывод 4 6 2" xfId="7048"/>
    <cellStyle name="Вывод 4 6 2 2" xfId="7049"/>
    <cellStyle name="Вывод 4 6 2 3" xfId="7050"/>
    <cellStyle name="Вывод 4 6 2 4" xfId="7051"/>
    <cellStyle name="Вывод 4 6 3" xfId="7052"/>
    <cellStyle name="Вывод 4 6 4" xfId="7053"/>
    <cellStyle name="Вывод 4 6 5" xfId="7054"/>
    <cellStyle name="Вывод 4 7" xfId="7055"/>
    <cellStyle name="Вывод 4 7 2" xfId="7056"/>
    <cellStyle name="Вывод 4 7 3" xfId="7057"/>
    <cellStyle name="Вывод 4 7 4" xfId="7058"/>
    <cellStyle name="Вывод 4 8" xfId="7059"/>
    <cellStyle name="Вывод 4 9" xfId="7060"/>
    <cellStyle name="Вывод 4_46EE.2011(v1.0)" xfId="7061"/>
    <cellStyle name="Вывод 5" xfId="7062"/>
    <cellStyle name="Вывод 5 10" xfId="7063"/>
    <cellStyle name="Вывод 5 11" xfId="7064"/>
    <cellStyle name="Вывод 5 12" xfId="7065"/>
    <cellStyle name="Вывод 5 13" xfId="7066"/>
    <cellStyle name="Вывод 5 14" xfId="7067"/>
    <cellStyle name="Вывод 5 15" xfId="7068"/>
    <cellStyle name="Вывод 5 16" xfId="7069"/>
    <cellStyle name="Вывод 5 17" xfId="7070"/>
    <cellStyle name="Вывод 5 18" xfId="7071"/>
    <cellStyle name="Вывод 5 19" xfId="7072"/>
    <cellStyle name="Вывод 5 2" xfId="7073"/>
    <cellStyle name="Вывод 5 2 2" xfId="7074"/>
    <cellStyle name="Вывод 5 2 2 2" xfId="7075"/>
    <cellStyle name="Вывод 5 2 2 2 2" xfId="7076"/>
    <cellStyle name="Вывод 5 2 2 2 3" xfId="7077"/>
    <cellStyle name="Вывод 5 2 2 2 4" xfId="7078"/>
    <cellStyle name="Вывод 5 2 2 3" xfId="7079"/>
    <cellStyle name="Вывод 5 2 2 4" xfId="7080"/>
    <cellStyle name="Вывод 5 2 2 5" xfId="7081"/>
    <cellStyle name="Вывод 5 2 3" xfId="7082"/>
    <cellStyle name="Вывод 5 2 3 2" xfId="7083"/>
    <cellStyle name="Вывод 5 2 3 2 2" xfId="7084"/>
    <cellStyle name="Вывод 5 2 3 2 3" xfId="7085"/>
    <cellStyle name="Вывод 5 2 3 2 4" xfId="7086"/>
    <cellStyle name="Вывод 5 2 3 3" xfId="7087"/>
    <cellStyle name="Вывод 5 2 3 4" xfId="7088"/>
    <cellStyle name="Вывод 5 2 3 5" xfId="7089"/>
    <cellStyle name="Вывод 5 2 4" xfId="7090"/>
    <cellStyle name="Вывод 5 2 4 2" xfId="7091"/>
    <cellStyle name="Вывод 5 2 4 2 2" xfId="7092"/>
    <cellStyle name="Вывод 5 2 4 2 3" xfId="7093"/>
    <cellStyle name="Вывод 5 2 4 2 4" xfId="7094"/>
    <cellStyle name="Вывод 5 2 4 3" xfId="7095"/>
    <cellStyle name="Вывод 5 2 4 4" xfId="7096"/>
    <cellStyle name="Вывод 5 2 4 5" xfId="7097"/>
    <cellStyle name="Вывод 5 2 5" xfId="7098"/>
    <cellStyle name="Вывод 5 2 5 2" xfId="7099"/>
    <cellStyle name="Вывод 5 2 5 2 2" xfId="7100"/>
    <cellStyle name="Вывод 5 2 5 2 3" xfId="7101"/>
    <cellStyle name="Вывод 5 2 5 2 4" xfId="7102"/>
    <cellStyle name="Вывод 5 2 5 3" xfId="7103"/>
    <cellStyle name="Вывод 5 2 5 4" xfId="7104"/>
    <cellStyle name="Вывод 5 2 5 5" xfId="7105"/>
    <cellStyle name="Вывод 5 2 6" xfId="7106"/>
    <cellStyle name="Вывод 5 2 6 2" xfId="7107"/>
    <cellStyle name="Вывод 5 2 6 3" xfId="7108"/>
    <cellStyle name="Вывод 5 2 6 4" xfId="7109"/>
    <cellStyle name="Вывод 5 2 7" xfId="7110"/>
    <cellStyle name="Вывод 5 2 8" xfId="7111"/>
    <cellStyle name="Вывод 5 2 9" xfId="7112"/>
    <cellStyle name="Вывод 5 20" xfId="7113"/>
    <cellStyle name="Вывод 5 21" xfId="7114"/>
    <cellStyle name="Вывод 5 22" xfId="7115"/>
    <cellStyle name="Вывод 5 23" xfId="7116"/>
    <cellStyle name="Вывод 5 24" xfId="7117"/>
    <cellStyle name="Вывод 5 25" xfId="7118"/>
    <cellStyle name="Вывод 5 26" xfId="7119"/>
    <cellStyle name="Вывод 5 27" xfId="7120"/>
    <cellStyle name="Вывод 5 28" xfId="7121"/>
    <cellStyle name="Вывод 5 29" xfId="7122"/>
    <cellStyle name="Вывод 5 3" xfId="7123"/>
    <cellStyle name="Вывод 5 3 2" xfId="7124"/>
    <cellStyle name="Вывод 5 3 2 2" xfId="7125"/>
    <cellStyle name="Вывод 5 3 2 3" xfId="7126"/>
    <cellStyle name="Вывод 5 3 2 4" xfId="7127"/>
    <cellStyle name="Вывод 5 3 3" xfId="7128"/>
    <cellStyle name="Вывод 5 3 4" xfId="7129"/>
    <cellStyle name="Вывод 5 3 5" xfId="7130"/>
    <cellStyle name="Вывод 5 30" xfId="7131"/>
    <cellStyle name="Вывод 5 31" xfId="7132"/>
    <cellStyle name="Вывод 5 32" xfId="7133"/>
    <cellStyle name="Вывод 5 33" xfId="7134"/>
    <cellStyle name="Вывод 5 34" xfId="7135"/>
    <cellStyle name="Вывод 5 35" xfId="7136"/>
    <cellStyle name="Вывод 5 36" xfId="7137"/>
    <cellStyle name="Вывод 5 37" xfId="7138"/>
    <cellStyle name="Вывод 5 38" xfId="7139"/>
    <cellStyle name="Вывод 5 39" xfId="7140"/>
    <cellStyle name="Вывод 5 4" xfId="7141"/>
    <cellStyle name="Вывод 5 4 2" xfId="7142"/>
    <cellStyle name="Вывод 5 4 2 2" xfId="7143"/>
    <cellStyle name="Вывод 5 4 2 3" xfId="7144"/>
    <cellStyle name="Вывод 5 4 2 4" xfId="7145"/>
    <cellStyle name="Вывод 5 4 3" xfId="7146"/>
    <cellStyle name="Вывод 5 4 4" xfId="7147"/>
    <cellStyle name="Вывод 5 4 5" xfId="7148"/>
    <cellStyle name="Вывод 5 40" xfId="7149"/>
    <cellStyle name="Вывод 5 41" xfId="7150"/>
    <cellStyle name="Вывод 5 42" xfId="7151"/>
    <cellStyle name="Вывод 5 43" xfId="7152"/>
    <cellStyle name="Вывод 5 44" xfId="7153"/>
    <cellStyle name="Вывод 5 5" xfId="7154"/>
    <cellStyle name="Вывод 5 5 2" xfId="7155"/>
    <cellStyle name="Вывод 5 5 2 2" xfId="7156"/>
    <cellStyle name="Вывод 5 5 2 3" xfId="7157"/>
    <cellStyle name="Вывод 5 5 2 4" xfId="7158"/>
    <cellStyle name="Вывод 5 5 3" xfId="7159"/>
    <cellStyle name="Вывод 5 5 4" xfId="7160"/>
    <cellStyle name="Вывод 5 5 5" xfId="7161"/>
    <cellStyle name="Вывод 5 6" xfId="7162"/>
    <cellStyle name="Вывод 5 6 2" xfId="7163"/>
    <cellStyle name="Вывод 5 6 2 2" xfId="7164"/>
    <cellStyle name="Вывод 5 6 2 3" xfId="7165"/>
    <cellStyle name="Вывод 5 6 2 4" xfId="7166"/>
    <cellStyle name="Вывод 5 6 3" xfId="7167"/>
    <cellStyle name="Вывод 5 6 4" xfId="7168"/>
    <cellStyle name="Вывод 5 6 5" xfId="7169"/>
    <cellStyle name="Вывод 5 7" xfId="7170"/>
    <cellStyle name="Вывод 5 7 2" xfId="7171"/>
    <cellStyle name="Вывод 5 7 3" xfId="7172"/>
    <cellStyle name="Вывод 5 7 4" xfId="7173"/>
    <cellStyle name="Вывод 5 8" xfId="7174"/>
    <cellStyle name="Вывод 5 9" xfId="7175"/>
    <cellStyle name="Вывод 5_46EE.2011(v1.0)" xfId="7176"/>
    <cellStyle name="Вывод 6" xfId="7177"/>
    <cellStyle name="Вывод 6 10" xfId="7178"/>
    <cellStyle name="Вывод 6 11" xfId="7179"/>
    <cellStyle name="Вывод 6 12" xfId="7180"/>
    <cellStyle name="Вывод 6 13" xfId="7181"/>
    <cellStyle name="Вывод 6 14" xfId="7182"/>
    <cellStyle name="Вывод 6 15" xfId="7183"/>
    <cellStyle name="Вывод 6 16" xfId="7184"/>
    <cellStyle name="Вывод 6 17" xfId="7185"/>
    <cellStyle name="Вывод 6 18" xfId="7186"/>
    <cellStyle name="Вывод 6 19" xfId="7187"/>
    <cellStyle name="Вывод 6 2" xfId="7188"/>
    <cellStyle name="Вывод 6 2 2" xfId="7189"/>
    <cellStyle name="Вывод 6 2 2 2" xfId="7190"/>
    <cellStyle name="Вывод 6 2 2 2 2" xfId="7191"/>
    <cellStyle name="Вывод 6 2 2 2 3" xfId="7192"/>
    <cellStyle name="Вывод 6 2 2 2 4" xfId="7193"/>
    <cellStyle name="Вывод 6 2 2 3" xfId="7194"/>
    <cellStyle name="Вывод 6 2 2 4" xfId="7195"/>
    <cellStyle name="Вывод 6 2 2 5" xfId="7196"/>
    <cellStyle name="Вывод 6 2 3" xfId="7197"/>
    <cellStyle name="Вывод 6 2 3 2" xfId="7198"/>
    <cellStyle name="Вывод 6 2 3 2 2" xfId="7199"/>
    <cellStyle name="Вывод 6 2 3 2 3" xfId="7200"/>
    <cellStyle name="Вывод 6 2 3 2 4" xfId="7201"/>
    <cellStyle name="Вывод 6 2 3 3" xfId="7202"/>
    <cellStyle name="Вывод 6 2 3 4" xfId="7203"/>
    <cellStyle name="Вывод 6 2 3 5" xfId="7204"/>
    <cellStyle name="Вывод 6 2 4" xfId="7205"/>
    <cellStyle name="Вывод 6 2 4 2" xfId="7206"/>
    <cellStyle name="Вывод 6 2 4 2 2" xfId="7207"/>
    <cellStyle name="Вывод 6 2 4 2 3" xfId="7208"/>
    <cellStyle name="Вывод 6 2 4 2 4" xfId="7209"/>
    <cellStyle name="Вывод 6 2 4 3" xfId="7210"/>
    <cellStyle name="Вывод 6 2 4 4" xfId="7211"/>
    <cellStyle name="Вывод 6 2 4 5" xfId="7212"/>
    <cellStyle name="Вывод 6 2 5" xfId="7213"/>
    <cellStyle name="Вывод 6 2 5 2" xfId="7214"/>
    <cellStyle name="Вывод 6 2 5 2 2" xfId="7215"/>
    <cellStyle name="Вывод 6 2 5 2 3" xfId="7216"/>
    <cellStyle name="Вывод 6 2 5 2 4" xfId="7217"/>
    <cellStyle name="Вывод 6 2 5 3" xfId="7218"/>
    <cellStyle name="Вывод 6 2 5 4" xfId="7219"/>
    <cellStyle name="Вывод 6 2 5 5" xfId="7220"/>
    <cellStyle name="Вывод 6 2 6" xfId="7221"/>
    <cellStyle name="Вывод 6 2 6 2" xfId="7222"/>
    <cellStyle name="Вывод 6 2 6 3" xfId="7223"/>
    <cellStyle name="Вывод 6 2 6 4" xfId="7224"/>
    <cellStyle name="Вывод 6 2 7" xfId="7225"/>
    <cellStyle name="Вывод 6 2 8" xfId="7226"/>
    <cellStyle name="Вывод 6 2 9" xfId="7227"/>
    <cellStyle name="Вывод 6 20" xfId="7228"/>
    <cellStyle name="Вывод 6 21" xfId="7229"/>
    <cellStyle name="Вывод 6 22" xfId="7230"/>
    <cellStyle name="Вывод 6 23" xfId="7231"/>
    <cellStyle name="Вывод 6 24" xfId="7232"/>
    <cellStyle name="Вывод 6 25" xfId="7233"/>
    <cellStyle name="Вывод 6 26" xfId="7234"/>
    <cellStyle name="Вывод 6 27" xfId="7235"/>
    <cellStyle name="Вывод 6 28" xfId="7236"/>
    <cellStyle name="Вывод 6 29" xfId="7237"/>
    <cellStyle name="Вывод 6 3" xfId="7238"/>
    <cellStyle name="Вывод 6 3 2" xfId="7239"/>
    <cellStyle name="Вывод 6 3 2 2" xfId="7240"/>
    <cellStyle name="Вывод 6 3 2 3" xfId="7241"/>
    <cellStyle name="Вывод 6 3 2 4" xfId="7242"/>
    <cellStyle name="Вывод 6 3 3" xfId="7243"/>
    <cellStyle name="Вывод 6 3 4" xfId="7244"/>
    <cellStyle name="Вывод 6 3 5" xfId="7245"/>
    <cellStyle name="Вывод 6 30" xfId="7246"/>
    <cellStyle name="Вывод 6 31" xfId="7247"/>
    <cellStyle name="Вывод 6 32" xfId="7248"/>
    <cellStyle name="Вывод 6 33" xfId="7249"/>
    <cellStyle name="Вывод 6 34" xfId="7250"/>
    <cellStyle name="Вывод 6 35" xfId="7251"/>
    <cellStyle name="Вывод 6 36" xfId="7252"/>
    <cellStyle name="Вывод 6 37" xfId="7253"/>
    <cellStyle name="Вывод 6 38" xfId="7254"/>
    <cellStyle name="Вывод 6 39" xfId="7255"/>
    <cellStyle name="Вывод 6 4" xfId="7256"/>
    <cellStyle name="Вывод 6 4 2" xfId="7257"/>
    <cellStyle name="Вывод 6 4 2 2" xfId="7258"/>
    <cellStyle name="Вывод 6 4 2 3" xfId="7259"/>
    <cellStyle name="Вывод 6 4 2 4" xfId="7260"/>
    <cellStyle name="Вывод 6 4 3" xfId="7261"/>
    <cellStyle name="Вывод 6 4 4" xfId="7262"/>
    <cellStyle name="Вывод 6 4 5" xfId="7263"/>
    <cellStyle name="Вывод 6 40" xfId="7264"/>
    <cellStyle name="Вывод 6 41" xfId="7265"/>
    <cellStyle name="Вывод 6 42" xfId="7266"/>
    <cellStyle name="Вывод 6 43" xfId="7267"/>
    <cellStyle name="Вывод 6 44" xfId="7268"/>
    <cellStyle name="Вывод 6 5" xfId="7269"/>
    <cellStyle name="Вывод 6 5 2" xfId="7270"/>
    <cellStyle name="Вывод 6 5 2 2" xfId="7271"/>
    <cellStyle name="Вывод 6 5 2 3" xfId="7272"/>
    <cellStyle name="Вывод 6 5 2 4" xfId="7273"/>
    <cellStyle name="Вывод 6 5 3" xfId="7274"/>
    <cellStyle name="Вывод 6 5 4" xfId="7275"/>
    <cellStyle name="Вывод 6 5 5" xfId="7276"/>
    <cellStyle name="Вывод 6 6" xfId="7277"/>
    <cellStyle name="Вывод 6 6 2" xfId="7278"/>
    <cellStyle name="Вывод 6 6 2 2" xfId="7279"/>
    <cellStyle name="Вывод 6 6 2 3" xfId="7280"/>
    <cellStyle name="Вывод 6 6 2 4" xfId="7281"/>
    <cellStyle name="Вывод 6 6 3" xfId="7282"/>
    <cellStyle name="Вывод 6 6 4" xfId="7283"/>
    <cellStyle name="Вывод 6 6 5" xfId="7284"/>
    <cellStyle name="Вывод 6 7" xfId="7285"/>
    <cellStyle name="Вывод 6 7 2" xfId="7286"/>
    <cellStyle name="Вывод 6 7 3" xfId="7287"/>
    <cellStyle name="Вывод 6 7 4" xfId="7288"/>
    <cellStyle name="Вывод 6 8" xfId="7289"/>
    <cellStyle name="Вывод 6 9" xfId="7290"/>
    <cellStyle name="Вывод 6_46EE.2011(v1.0)" xfId="7291"/>
    <cellStyle name="Вывод 7" xfId="7292"/>
    <cellStyle name="Вывод 7 10" xfId="7293"/>
    <cellStyle name="Вывод 7 11" xfId="7294"/>
    <cellStyle name="Вывод 7 12" xfId="7295"/>
    <cellStyle name="Вывод 7 13" xfId="7296"/>
    <cellStyle name="Вывод 7 14" xfId="7297"/>
    <cellStyle name="Вывод 7 15" xfId="7298"/>
    <cellStyle name="Вывод 7 16" xfId="7299"/>
    <cellStyle name="Вывод 7 17" xfId="7300"/>
    <cellStyle name="Вывод 7 18" xfId="7301"/>
    <cellStyle name="Вывод 7 19" xfId="7302"/>
    <cellStyle name="Вывод 7 2" xfId="7303"/>
    <cellStyle name="Вывод 7 2 2" xfId="7304"/>
    <cellStyle name="Вывод 7 2 2 2" xfId="7305"/>
    <cellStyle name="Вывод 7 2 2 2 2" xfId="7306"/>
    <cellStyle name="Вывод 7 2 2 2 3" xfId="7307"/>
    <cellStyle name="Вывод 7 2 2 2 4" xfId="7308"/>
    <cellStyle name="Вывод 7 2 2 3" xfId="7309"/>
    <cellStyle name="Вывод 7 2 2 4" xfId="7310"/>
    <cellStyle name="Вывод 7 2 2 5" xfId="7311"/>
    <cellStyle name="Вывод 7 2 3" xfId="7312"/>
    <cellStyle name="Вывод 7 2 3 2" xfId="7313"/>
    <cellStyle name="Вывод 7 2 3 2 2" xfId="7314"/>
    <cellStyle name="Вывод 7 2 3 2 3" xfId="7315"/>
    <cellStyle name="Вывод 7 2 3 2 4" xfId="7316"/>
    <cellStyle name="Вывод 7 2 3 3" xfId="7317"/>
    <cellStyle name="Вывод 7 2 3 4" xfId="7318"/>
    <cellStyle name="Вывод 7 2 3 5" xfId="7319"/>
    <cellStyle name="Вывод 7 2 4" xfId="7320"/>
    <cellStyle name="Вывод 7 2 4 2" xfId="7321"/>
    <cellStyle name="Вывод 7 2 4 2 2" xfId="7322"/>
    <cellStyle name="Вывод 7 2 4 2 3" xfId="7323"/>
    <cellStyle name="Вывод 7 2 4 2 4" xfId="7324"/>
    <cellStyle name="Вывод 7 2 4 3" xfId="7325"/>
    <cellStyle name="Вывод 7 2 4 4" xfId="7326"/>
    <cellStyle name="Вывод 7 2 4 5" xfId="7327"/>
    <cellStyle name="Вывод 7 2 5" xfId="7328"/>
    <cellStyle name="Вывод 7 2 5 2" xfId="7329"/>
    <cellStyle name="Вывод 7 2 5 2 2" xfId="7330"/>
    <cellStyle name="Вывод 7 2 5 2 3" xfId="7331"/>
    <cellStyle name="Вывод 7 2 5 2 4" xfId="7332"/>
    <cellStyle name="Вывод 7 2 5 3" xfId="7333"/>
    <cellStyle name="Вывод 7 2 5 4" xfId="7334"/>
    <cellStyle name="Вывод 7 2 5 5" xfId="7335"/>
    <cellStyle name="Вывод 7 2 6" xfId="7336"/>
    <cellStyle name="Вывод 7 2 6 2" xfId="7337"/>
    <cellStyle name="Вывод 7 2 6 3" xfId="7338"/>
    <cellStyle name="Вывод 7 2 6 4" xfId="7339"/>
    <cellStyle name="Вывод 7 2 7" xfId="7340"/>
    <cellStyle name="Вывод 7 2 8" xfId="7341"/>
    <cellStyle name="Вывод 7 2 9" xfId="7342"/>
    <cellStyle name="Вывод 7 20" xfId="7343"/>
    <cellStyle name="Вывод 7 21" xfId="7344"/>
    <cellStyle name="Вывод 7 22" xfId="7345"/>
    <cellStyle name="Вывод 7 23" xfId="7346"/>
    <cellStyle name="Вывод 7 24" xfId="7347"/>
    <cellStyle name="Вывод 7 25" xfId="7348"/>
    <cellStyle name="Вывод 7 26" xfId="7349"/>
    <cellStyle name="Вывод 7 27" xfId="7350"/>
    <cellStyle name="Вывод 7 28" xfId="7351"/>
    <cellStyle name="Вывод 7 29" xfId="7352"/>
    <cellStyle name="Вывод 7 3" xfId="7353"/>
    <cellStyle name="Вывод 7 3 2" xfId="7354"/>
    <cellStyle name="Вывод 7 3 2 2" xfId="7355"/>
    <cellStyle name="Вывод 7 3 2 3" xfId="7356"/>
    <cellStyle name="Вывод 7 3 2 4" xfId="7357"/>
    <cellStyle name="Вывод 7 3 3" xfId="7358"/>
    <cellStyle name="Вывод 7 3 4" xfId="7359"/>
    <cellStyle name="Вывод 7 3 5" xfId="7360"/>
    <cellStyle name="Вывод 7 30" xfId="7361"/>
    <cellStyle name="Вывод 7 31" xfId="7362"/>
    <cellStyle name="Вывод 7 32" xfId="7363"/>
    <cellStyle name="Вывод 7 33" xfId="7364"/>
    <cellStyle name="Вывод 7 34" xfId="7365"/>
    <cellStyle name="Вывод 7 35" xfId="7366"/>
    <cellStyle name="Вывод 7 36" xfId="7367"/>
    <cellStyle name="Вывод 7 37" xfId="7368"/>
    <cellStyle name="Вывод 7 38" xfId="7369"/>
    <cellStyle name="Вывод 7 39" xfId="7370"/>
    <cellStyle name="Вывод 7 4" xfId="7371"/>
    <cellStyle name="Вывод 7 4 2" xfId="7372"/>
    <cellStyle name="Вывод 7 4 2 2" xfId="7373"/>
    <cellStyle name="Вывод 7 4 2 3" xfId="7374"/>
    <cellStyle name="Вывод 7 4 2 4" xfId="7375"/>
    <cellStyle name="Вывод 7 4 3" xfId="7376"/>
    <cellStyle name="Вывод 7 4 4" xfId="7377"/>
    <cellStyle name="Вывод 7 4 5" xfId="7378"/>
    <cellStyle name="Вывод 7 40" xfId="7379"/>
    <cellStyle name="Вывод 7 41" xfId="7380"/>
    <cellStyle name="Вывод 7 42" xfId="7381"/>
    <cellStyle name="Вывод 7 43" xfId="7382"/>
    <cellStyle name="Вывод 7 44" xfId="7383"/>
    <cellStyle name="Вывод 7 5" xfId="7384"/>
    <cellStyle name="Вывод 7 5 2" xfId="7385"/>
    <cellStyle name="Вывод 7 5 2 2" xfId="7386"/>
    <cellStyle name="Вывод 7 5 2 3" xfId="7387"/>
    <cellStyle name="Вывод 7 5 2 4" xfId="7388"/>
    <cellStyle name="Вывод 7 5 3" xfId="7389"/>
    <cellStyle name="Вывод 7 5 4" xfId="7390"/>
    <cellStyle name="Вывод 7 5 5" xfId="7391"/>
    <cellStyle name="Вывод 7 6" xfId="7392"/>
    <cellStyle name="Вывод 7 6 2" xfId="7393"/>
    <cellStyle name="Вывод 7 6 2 2" xfId="7394"/>
    <cellStyle name="Вывод 7 6 2 3" xfId="7395"/>
    <cellStyle name="Вывод 7 6 2 4" xfId="7396"/>
    <cellStyle name="Вывод 7 6 3" xfId="7397"/>
    <cellStyle name="Вывод 7 6 4" xfId="7398"/>
    <cellStyle name="Вывод 7 6 5" xfId="7399"/>
    <cellStyle name="Вывод 7 7" xfId="7400"/>
    <cellStyle name="Вывод 7 7 2" xfId="7401"/>
    <cellStyle name="Вывод 7 7 3" xfId="7402"/>
    <cellStyle name="Вывод 7 7 4" xfId="7403"/>
    <cellStyle name="Вывод 7 8" xfId="7404"/>
    <cellStyle name="Вывод 7 9" xfId="7405"/>
    <cellStyle name="Вывод 7_46EE.2011(v1.0)" xfId="7406"/>
    <cellStyle name="Вывод 8" xfId="7407"/>
    <cellStyle name="Вывод 8 10" xfId="7408"/>
    <cellStyle name="Вывод 8 2" xfId="7409"/>
    <cellStyle name="Вывод 8 2 2" xfId="7410"/>
    <cellStyle name="Вывод 8 2 2 2" xfId="7411"/>
    <cellStyle name="Вывод 8 2 2 2 2" xfId="7412"/>
    <cellStyle name="Вывод 8 2 2 2 3" xfId="7413"/>
    <cellStyle name="Вывод 8 2 2 2 4" xfId="7414"/>
    <cellStyle name="Вывод 8 2 2 3" xfId="7415"/>
    <cellStyle name="Вывод 8 2 2 4" xfId="7416"/>
    <cellStyle name="Вывод 8 2 2 5" xfId="7417"/>
    <cellStyle name="Вывод 8 2 3" xfId="7418"/>
    <cellStyle name="Вывод 8 2 3 2" xfId="7419"/>
    <cellStyle name="Вывод 8 2 3 2 2" xfId="7420"/>
    <cellStyle name="Вывод 8 2 3 2 3" xfId="7421"/>
    <cellStyle name="Вывод 8 2 3 2 4" xfId="7422"/>
    <cellStyle name="Вывод 8 2 3 3" xfId="7423"/>
    <cellStyle name="Вывод 8 2 3 4" xfId="7424"/>
    <cellStyle name="Вывод 8 2 3 5" xfId="7425"/>
    <cellStyle name="Вывод 8 2 4" xfId="7426"/>
    <cellStyle name="Вывод 8 2 4 2" xfId="7427"/>
    <cellStyle name="Вывод 8 2 4 2 2" xfId="7428"/>
    <cellStyle name="Вывод 8 2 4 2 3" xfId="7429"/>
    <cellStyle name="Вывод 8 2 4 2 4" xfId="7430"/>
    <cellStyle name="Вывод 8 2 4 3" xfId="7431"/>
    <cellStyle name="Вывод 8 2 4 4" xfId="7432"/>
    <cellStyle name="Вывод 8 2 4 5" xfId="7433"/>
    <cellStyle name="Вывод 8 2 5" xfId="7434"/>
    <cellStyle name="Вывод 8 2 5 2" xfId="7435"/>
    <cellStyle name="Вывод 8 2 5 2 2" xfId="7436"/>
    <cellStyle name="Вывод 8 2 5 2 3" xfId="7437"/>
    <cellStyle name="Вывод 8 2 5 2 4" xfId="7438"/>
    <cellStyle name="Вывод 8 2 5 3" xfId="7439"/>
    <cellStyle name="Вывод 8 2 5 4" xfId="7440"/>
    <cellStyle name="Вывод 8 2 5 5" xfId="7441"/>
    <cellStyle name="Вывод 8 2 6" xfId="7442"/>
    <cellStyle name="Вывод 8 2 6 2" xfId="7443"/>
    <cellStyle name="Вывод 8 2 6 3" xfId="7444"/>
    <cellStyle name="Вывод 8 2 6 4" xfId="7445"/>
    <cellStyle name="Вывод 8 2 7" xfId="7446"/>
    <cellStyle name="Вывод 8 2 8" xfId="7447"/>
    <cellStyle name="Вывод 8 2 9" xfId="7448"/>
    <cellStyle name="Вывод 8 3" xfId="7449"/>
    <cellStyle name="Вывод 8 3 2" xfId="7450"/>
    <cellStyle name="Вывод 8 3 2 2" xfId="7451"/>
    <cellStyle name="Вывод 8 3 2 3" xfId="7452"/>
    <cellStyle name="Вывод 8 3 2 4" xfId="7453"/>
    <cellStyle name="Вывод 8 3 3" xfId="7454"/>
    <cellStyle name="Вывод 8 3 4" xfId="7455"/>
    <cellStyle name="Вывод 8 3 5" xfId="7456"/>
    <cellStyle name="Вывод 8 4" xfId="7457"/>
    <cellStyle name="Вывод 8 4 2" xfId="7458"/>
    <cellStyle name="Вывод 8 4 2 2" xfId="7459"/>
    <cellStyle name="Вывод 8 4 2 3" xfId="7460"/>
    <cellStyle name="Вывод 8 4 2 4" xfId="7461"/>
    <cellStyle name="Вывод 8 4 3" xfId="7462"/>
    <cellStyle name="Вывод 8 4 4" xfId="7463"/>
    <cellStyle name="Вывод 8 4 5" xfId="7464"/>
    <cellStyle name="Вывод 8 5" xfId="7465"/>
    <cellStyle name="Вывод 8 5 2" xfId="7466"/>
    <cellStyle name="Вывод 8 5 2 2" xfId="7467"/>
    <cellStyle name="Вывод 8 5 2 3" xfId="7468"/>
    <cellStyle name="Вывод 8 5 2 4" xfId="7469"/>
    <cellStyle name="Вывод 8 5 3" xfId="7470"/>
    <cellStyle name="Вывод 8 5 4" xfId="7471"/>
    <cellStyle name="Вывод 8 5 5" xfId="7472"/>
    <cellStyle name="Вывод 8 6" xfId="7473"/>
    <cellStyle name="Вывод 8 6 2" xfId="7474"/>
    <cellStyle name="Вывод 8 6 2 2" xfId="7475"/>
    <cellStyle name="Вывод 8 6 2 3" xfId="7476"/>
    <cellStyle name="Вывод 8 6 2 4" xfId="7477"/>
    <cellStyle name="Вывод 8 6 3" xfId="7478"/>
    <cellStyle name="Вывод 8 6 4" xfId="7479"/>
    <cellStyle name="Вывод 8 6 5" xfId="7480"/>
    <cellStyle name="Вывод 8 7" xfId="7481"/>
    <cellStyle name="Вывод 8 7 2" xfId="7482"/>
    <cellStyle name="Вывод 8 7 3" xfId="7483"/>
    <cellStyle name="Вывод 8 7 4" xfId="7484"/>
    <cellStyle name="Вывод 8 8" xfId="7485"/>
    <cellStyle name="Вывод 8 9" xfId="7486"/>
    <cellStyle name="Вывод 8_46EE.2011(v1.0)" xfId="7487"/>
    <cellStyle name="Вывод 9" xfId="7488"/>
    <cellStyle name="Вывод 9 10" xfId="7489"/>
    <cellStyle name="Вывод 9 2" xfId="7490"/>
    <cellStyle name="Вывод 9 2 2" xfId="7491"/>
    <cellStyle name="Вывод 9 2 2 2" xfId="7492"/>
    <cellStyle name="Вывод 9 2 2 2 2" xfId="7493"/>
    <cellStyle name="Вывод 9 2 2 2 3" xfId="7494"/>
    <cellStyle name="Вывод 9 2 2 2 4" xfId="7495"/>
    <cellStyle name="Вывод 9 2 2 3" xfId="7496"/>
    <cellStyle name="Вывод 9 2 2 4" xfId="7497"/>
    <cellStyle name="Вывод 9 2 2 5" xfId="7498"/>
    <cellStyle name="Вывод 9 2 3" xfId="7499"/>
    <cellStyle name="Вывод 9 2 3 2" xfId="7500"/>
    <cellStyle name="Вывод 9 2 3 2 2" xfId="7501"/>
    <cellStyle name="Вывод 9 2 3 2 3" xfId="7502"/>
    <cellStyle name="Вывод 9 2 3 2 4" xfId="7503"/>
    <cellStyle name="Вывод 9 2 3 3" xfId="7504"/>
    <cellStyle name="Вывод 9 2 3 4" xfId="7505"/>
    <cellStyle name="Вывод 9 2 3 5" xfId="7506"/>
    <cellStyle name="Вывод 9 2 4" xfId="7507"/>
    <cellStyle name="Вывод 9 2 4 2" xfId="7508"/>
    <cellStyle name="Вывод 9 2 4 2 2" xfId="7509"/>
    <cellStyle name="Вывод 9 2 4 2 3" xfId="7510"/>
    <cellStyle name="Вывод 9 2 4 2 4" xfId="7511"/>
    <cellStyle name="Вывод 9 2 4 3" xfId="7512"/>
    <cellStyle name="Вывод 9 2 4 4" xfId="7513"/>
    <cellStyle name="Вывод 9 2 4 5" xfId="7514"/>
    <cellStyle name="Вывод 9 2 5" xfId="7515"/>
    <cellStyle name="Вывод 9 2 5 2" xfId="7516"/>
    <cellStyle name="Вывод 9 2 5 2 2" xfId="7517"/>
    <cellStyle name="Вывод 9 2 5 2 3" xfId="7518"/>
    <cellStyle name="Вывод 9 2 5 2 4" xfId="7519"/>
    <cellStyle name="Вывод 9 2 5 3" xfId="7520"/>
    <cellStyle name="Вывод 9 2 5 4" xfId="7521"/>
    <cellStyle name="Вывод 9 2 5 5" xfId="7522"/>
    <cellStyle name="Вывод 9 2 6" xfId="7523"/>
    <cellStyle name="Вывод 9 2 6 2" xfId="7524"/>
    <cellStyle name="Вывод 9 2 6 3" xfId="7525"/>
    <cellStyle name="Вывод 9 2 6 4" xfId="7526"/>
    <cellStyle name="Вывод 9 2 7" xfId="7527"/>
    <cellStyle name="Вывод 9 2 8" xfId="7528"/>
    <cellStyle name="Вывод 9 2 9" xfId="7529"/>
    <cellStyle name="Вывод 9 3" xfId="7530"/>
    <cellStyle name="Вывод 9 3 2" xfId="7531"/>
    <cellStyle name="Вывод 9 3 2 2" xfId="7532"/>
    <cellStyle name="Вывод 9 3 2 3" xfId="7533"/>
    <cellStyle name="Вывод 9 3 2 4" xfId="7534"/>
    <cellStyle name="Вывод 9 3 3" xfId="7535"/>
    <cellStyle name="Вывод 9 3 4" xfId="7536"/>
    <cellStyle name="Вывод 9 3 5" xfId="7537"/>
    <cellStyle name="Вывод 9 4" xfId="7538"/>
    <cellStyle name="Вывод 9 4 2" xfId="7539"/>
    <cellStyle name="Вывод 9 4 2 2" xfId="7540"/>
    <cellStyle name="Вывод 9 4 2 3" xfId="7541"/>
    <cellStyle name="Вывод 9 4 2 4" xfId="7542"/>
    <cellStyle name="Вывод 9 4 3" xfId="7543"/>
    <cellStyle name="Вывод 9 4 4" xfId="7544"/>
    <cellStyle name="Вывод 9 4 5" xfId="7545"/>
    <cellStyle name="Вывод 9 5" xfId="7546"/>
    <cellStyle name="Вывод 9 5 2" xfId="7547"/>
    <cellStyle name="Вывод 9 5 2 2" xfId="7548"/>
    <cellStyle name="Вывод 9 5 2 3" xfId="7549"/>
    <cellStyle name="Вывод 9 5 2 4" xfId="7550"/>
    <cellStyle name="Вывод 9 5 3" xfId="7551"/>
    <cellStyle name="Вывод 9 5 4" xfId="7552"/>
    <cellStyle name="Вывод 9 5 5" xfId="7553"/>
    <cellStyle name="Вывод 9 6" xfId="7554"/>
    <cellStyle name="Вывод 9 6 2" xfId="7555"/>
    <cellStyle name="Вывод 9 6 2 2" xfId="7556"/>
    <cellStyle name="Вывод 9 6 2 3" xfId="7557"/>
    <cellStyle name="Вывод 9 6 2 4" xfId="7558"/>
    <cellStyle name="Вывод 9 6 3" xfId="7559"/>
    <cellStyle name="Вывод 9 6 4" xfId="7560"/>
    <cellStyle name="Вывод 9 6 5" xfId="7561"/>
    <cellStyle name="Вывод 9 7" xfId="7562"/>
    <cellStyle name="Вывод 9 7 2" xfId="7563"/>
    <cellStyle name="Вывод 9 7 3" xfId="7564"/>
    <cellStyle name="Вывод 9 7 4" xfId="7565"/>
    <cellStyle name="Вывод 9 8" xfId="7566"/>
    <cellStyle name="Вывод 9 9" xfId="7567"/>
    <cellStyle name="Вывод 9_46EE.2011(v1.0)" xfId="7568"/>
    <cellStyle name="Вычисление 10" xfId="7569"/>
    <cellStyle name="Вычисление 10 2" xfId="7570"/>
    <cellStyle name="Вычисление 10 2 2" xfId="7571"/>
    <cellStyle name="Вычисление 10 2 2 2" xfId="7572"/>
    <cellStyle name="Вычисление 10 2 2 3" xfId="7573"/>
    <cellStyle name="Вычисление 10 2 2 4" xfId="7574"/>
    <cellStyle name="Вычисление 10 2 3" xfId="7575"/>
    <cellStyle name="Вычисление 10 2 4" xfId="7576"/>
    <cellStyle name="Вычисление 10 2 5" xfId="7577"/>
    <cellStyle name="Вычисление 10 3" xfId="7578"/>
    <cellStyle name="Вычисление 10 3 2" xfId="7579"/>
    <cellStyle name="Вычисление 10 3 2 2" xfId="7580"/>
    <cellStyle name="Вычисление 10 3 2 3" xfId="7581"/>
    <cellStyle name="Вычисление 10 3 2 4" xfId="7582"/>
    <cellStyle name="Вычисление 10 3 3" xfId="7583"/>
    <cellStyle name="Вычисление 10 3 4" xfId="7584"/>
    <cellStyle name="Вычисление 10 3 5" xfId="7585"/>
    <cellStyle name="Вычисление 10 4" xfId="7586"/>
    <cellStyle name="Вычисление 10 4 2" xfId="7587"/>
    <cellStyle name="Вычисление 10 4 2 2" xfId="7588"/>
    <cellStyle name="Вычисление 10 4 2 3" xfId="7589"/>
    <cellStyle name="Вычисление 10 4 2 4" xfId="7590"/>
    <cellStyle name="Вычисление 10 4 3" xfId="7591"/>
    <cellStyle name="Вычисление 10 4 4" xfId="7592"/>
    <cellStyle name="Вычисление 10 4 5" xfId="7593"/>
    <cellStyle name="Вычисление 10 5" xfId="7594"/>
    <cellStyle name="Вычисление 10 5 2" xfId="7595"/>
    <cellStyle name="Вычисление 10 5 2 2" xfId="7596"/>
    <cellStyle name="Вычисление 10 5 2 3" xfId="7597"/>
    <cellStyle name="Вычисление 10 5 2 4" xfId="7598"/>
    <cellStyle name="Вычисление 10 5 3" xfId="7599"/>
    <cellStyle name="Вычисление 10 5 4" xfId="7600"/>
    <cellStyle name="Вычисление 10 5 5" xfId="7601"/>
    <cellStyle name="Вычисление 10 6" xfId="7602"/>
    <cellStyle name="Вычисление 10 6 2" xfId="7603"/>
    <cellStyle name="Вычисление 10 6 3" xfId="7604"/>
    <cellStyle name="Вычисление 10 6 4" xfId="7605"/>
    <cellStyle name="Вычисление 10 7" xfId="7606"/>
    <cellStyle name="Вычисление 10 8" xfId="7607"/>
    <cellStyle name="Вычисление 10 9" xfId="7608"/>
    <cellStyle name="Вычисление 2" xfId="7609"/>
    <cellStyle name="Вычисление 2 10" xfId="7610"/>
    <cellStyle name="Вычисление 2 11" xfId="7611"/>
    <cellStyle name="Вычисление 2 12" xfId="7612"/>
    <cellStyle name="Вычисление 2 13" xfId="7613"/>
    <cellStyle name="Вычисление 2 14" xfId="7614"/>
    <cellStyle name="Вычисление 2 15" xfId="7615"/>
    <cellStyle name="Вычисление 2 16" xfId="7616"/>
    <cellStyle name="Вычисление 2 17" xfId="7617"/>
    <cellStyle name="Вычисление 2 18" xfId="7618"/>
    <cellStyle name="Вычисление 2 19" xfId="7619"/>
    <cellStyle name="Вычисление 2 2" xfId="7620"/>
    <cellStyle name="Вычисление 2 2 2" xfId="7621"/>
    <cellStyle name="Вычисление 2 2 2 2" xfId="7622"/>
    <cellStyle name="Вычисление 2 2 2 2 2" xfId="7623"/>
    <cellStyle name="Вычисление 2 2 2 2 3" xfId="7624"/>
    <cellStyle name="Вычисление 2 2 2 2 4" xfId="7625"/>
    <cellStyle name="Вычисление 2 2 2 3" xfId="7626"/>
    <cellStyle name="Вычисление 2 2 2 4" xfId="7627"/>
    <cellStyle name="Вычисление 2 2 2 5" xfId="7628"/>
    <cellStyle name="Вычисление 2 2 3" xfId="7629"/>
    <cellStyle name="Вычисление 2 2 3 2" xfId="7630"/>
    <cellStyle name="Вычисление 2 2 3 2 2" xfId="7631"/>
    <cellStyle name="Вычисление 2 2 3 2 3" xfId="7632"/>
    <cellStyle name="Вычисление 2 2 3 2 4" xfId="7633"/>
    <cellStyle name="Вычисление 2 2 3 3" xfId="7634"/>
    <cellStyle name="Вычисление 2 2 3 4" xfId="7635"/>
    <cellStyle name="Вычисление 2 2 3 5" xfId="7636"/>
    <cellStyle name="Вычисление 2 2 4" xfId="7637"/>
    <cellStyle name="Вычисление 2 2 4 2" xfId="7638"/>
    <cellStyle name="Вычисление 2 2 4 2 2" xfId="7639"/>
    <cellStyle name="Вычисление 2 2 4 2 3" xfId="7640"/>
    <cellStyle name="Вычисление 2 2 4 2 4" xfId="7641"/>
    <cellStyle name="Вычисление 2 2 4 3" xfId="7642"/>
    <cellStyle name="Вычисление 2 2 4 4" xfId="7643"/>
    <cellStyle name="Вычисление 2 2 4 5" xfId="7644"/>
    <cellStyle name="Вычисление 2 2 5" xfId="7645"/>
    <cellStyle name="Вычисление 2 2 5 2" xfId="7646"/>
    <cellStyle name="Вычисление 2 2 5 2 2" xfId="7647"/>
    <cellStyle name="Вычисление 2 2 5 2 3" xfId="7648"/>
    <cellStyle name="Вычисление 2 2 5 2 4" xfId="7649"/>
    <cellStyle name="Вычисление 2 2 5 3" xfId="7650"/>
    <cellStyle name="Вычисление 2 2 5 4" xfId="7651"/>
    <cellStyle name="Вычисление 2 2 5 5" xfId="7652"/>
    <cellStyle name="Вычисление 2 2 6" xfId="7653"/>
    <cellStyle name="Вычисление 2 2 6 2" xfId="7654"/>
    <cellStyle name="Вычисление 2 2 6 3" xfId="7655"/>
    <cellStyle name="Вычисление 2 2 6 4" xfId="7656"/>
    <cellStyle name="Вычисление 2 2 7" xfId="7657"/>
    <cellStyle name="Вычисление 2 2 8" xfId="7658"/>
    <cellStyle name="Вычисление 2 2 9" xfId="7659"/>
    <cellStyle name="Вычисление 2 20" xfId="7660"/>
    <cellStyle name="Вычисление 2 21" xfId="7661"/>
    <cellStyle name="Вычисление 2 22" xfId="7662"/>
    <cellStyle name="Вычисление 2 23" xfId="7663"/>
    <cellStyle name="Вычисление 2 24" xfId="7664"/>
    <cellStyle name="Вычисление 2 25" xfId="7665"/>
    <cellStyle name="Вычисление 2 26" xfId="7666"/>
    <cellStyle name="Вычисление 2 27" xfId="7667"/>
    <cellStyle name="Вычисление 2 28" xfId="7668"/>
    <cellStyle name="Вычисление 2 29" xfId="7669"/>
    <cellStyle name="Вычисление 2 3" xfId="7670"/>
    <cellStyle name="Вычисление 2 3 2" xfId="7671"/>
    <cellStyle name="Вычисление 2 3 2 2" xfId="7672"/>
    <cellStyle name="Вычисление 2 3 2 3" xfId="7673"/>
    <cellStyle name="Вычисление 2 3 2 4" xfId="7674"/>
    <cellStyle name="Вычисление 2 3 3" xfId="7675"/>
    <cellStyle name="Вычисление 2 3 4" xfId="7676"/>
    <cellStyle name="Вычисление 2 3 5" xfId="7677"/>
    <cellStyle name="Вычисление 2 30" xfId="7678"/>
    <cellStyle name="Вычисление 2 31" xfId="7679"/>
    <cellStyle name="Вычисление 2 32" xfId="7680"/>
    <cellStyle name="Вычисление 2 33" xfId="7681"/>
    <cellStyle name="Вычисление 2 34" xfId="7682"/>
    <cellStyle name="Вычисление 2 35" xfId="7683"/>
    <cellStyle name="Вычисление 2 36" xfId="7684"/>
    <cellStyle name="Вычисление 2 37" xfId="7685"/>
    <cellStyle name="Вычисление 2 38" xfId="7686"/>
    <cellStyle name="Вычисление 2 39" xfId="7687"/>
    <cellStyle name="Вычисление 2 4" xfId="7688"/>
    <cellStyle name="Вычисление 2 4 2" xfId="7689"/>
    <cellStyle name="Вычисление 2 4 2 2" xfId="7690"/>
    <cellStyle name="Вычисление 2 4 2 3" xfId="7691"/>
    <cellStyle name="Вычисление 2 4 2 4" xfId="7692"/>
    <cellStyle name="Вычисление 2 4 3" xfId="7693"/>
    <cellStyle name="Вычисление 2 4 4" xfId="7694"/>
    <cellStyle name="Вычисление 2 4 5" xfId="7695"/>
    <cellStyle name="Вычисление 2 40" xfId="7696"/>
    <cellStyle name="Вычисление 2 41" xfId="7697"/>
    <cellStyle name="Вычисление 2 42" xfId="7698"/>
    <cellStyle name="Вычисление 2 43" xfId="7699"/>
    <cellStyle name="Вычисление 2 44" xfId="7700"/>
    <cellStyle name="Вычисление 2 5" xfId="7701"/>
    <cellStyle name="Вычисление 2 5 2" xfId="7702"/>
    <cellStyle name="Вычисление 2 5 2 2" xfId="7703"/>
    <cellStyle name="Вычисление 2 5 2 3" xfId="7704"/>
    <cellStyle name="Вычисление 2 5 2 4" xfId="7705"/>
    <cellStyle name="Вычисление 2 5 3" xfId="7706"/>
    <cellStyle name="Вычисление 2 5 4" xfId="7707"/>
    <cellStyle name="Вычисление 2 5 5" xfId="7708"/>
    <cellStyle name="Вычисление 2 6" xfId="7709"/>
    <cellStyle name="Вычисление 2 6 2" xfId="7710"/>
    <cellStyle name="Вычисление 2 6 2 2" xfId="7711"/>
    <cellStyle name="Вычисление 2 6 2 3" xfId="7712"/>
    <cellStyle name="Вычисление 2 6 2 4" xfId="7713"/>
    <cellStyle name="Вычисление 2 6 3" xfId="7714"/>
    <cellStyle name="Вычисление 2 6 4" xfId="7715"/>
    <cellStyle name="Вычисление 2 6 5" xfId="7716"/>
    <cellStyle name="Вычисление 2 7" xfId="7717"/>
    <cellStyle name="Вычисление 2 7 2" xfId="7718"/>
    <cellStyle name="Вычисление 2 7 3" xfId="7719"/>
    <cellStyle name="Вычисление 2 7 4" xfId="7720"/>
    <cellStyle name="Вычисление 2 8" xfId="7721"/>
    <cellStyle name="Вычисление 2 9" xfId="7722"/>
    <cellStyle name="Вычисление 2_46EE.2011(v1.0)" xfId="7723"/>
    <cellStyle name="Вычисление 3" xfId="7724"/>
    <cellStyle name="Вычисление 3 10" xfId="7725"/>
    <cellStyle name="Вычисление 3 11" xfId="7726"/>
    <cellStyle name="Вычисление 3 12" xfId="7727"/>
    <cellStyle name="Вычисление 3 13" xfId="7728"/>
    <cellStyle name="Вычисление 3 14" xfId="7729"/>
    <cellStyle name="Вычисление 3 15" xfId="7730"/>
    <cellStyle name="Вычисление 3 16" xfId="7731"/>
    <cellStyle name="Вычисление 3 17" xfId="7732"/>
    <cellStyle name="Вычисление 3 18" xfId="7733"/>
    <cellStyle name="Вычисление 3 19" xfId="7734"/>
    <cellStyle name="Вычисление 3 2" xfId="7735"/>
    <cellStyle name="Вычисление 3 2 2" xfId="7736"/>
    <cellStyle name="Вычисление 3 2 2 2" xfId="7737"/>
    <cellStyle name="Вычисление 3 2 2 2 2" xfId="7738"/>
    <cellStyle name="Вычисление 3 2 2 2 3" xfId="7739"/>
    <cellStyle name="Вычисление 3 2 2 2 4" xfId="7740"/>
    <cellStyle name="Вычисление 3 2 2 3" xfId="7741"/>
    <cellStyle name="Вычисление 3 2 2 4" xfId="7742"/>
    <cellStyle name="Вычисление 3 2 2 5" xfId="7743"/>
    <cellStyle name="Вычисление 3 2 3" xfId="7744"/>
    <cellStyle name="Вычисление 3 2 3 2" xfId="7745"/>
    <cellStyle name="Вычисление 3 2 3 2 2" xfId="7746"/>
    <cellStyle name="Вычисление 3 2 3 2 3" xfId="7747"/>
    <cellStyle name="Вычисление 3 2 3 2 4" xfId="7748"/>
    <cellStyle name="Вычисление 3 2 3 3" xfId="7749"/>
    <cellStyle name="Вычисление 3 2 3 4" xfId="7750"/>
    <cellStyle name="Вычисление 3 2 3 5" xfId="7751"/>
    <cellStyle name="Вычисление 3 2 4" xfId="7752"/>
    <cellStyle name="Вычисление 3 2 4 2" xfId="7753"/>
    <cellStyle name="Вычисление 3 2 4 2 2" xfId="7754"/>
    <cellStyle name="Вычисление 3 2 4 2 3" xfId="7755"/>
    <cellStyle name="Вычисление 3 2 4 2 4" xfId="7756"/>
    <cellStyle name="Вычисление 3 2 4 3" xfId="7757"/>
    <cellStyle name="Вычисление 3 2 4 4" xfId="7758"/>
    <cellStyle name="Вычисление 3 2 4 5" xfId="7759"/>
    <cellStyle name="Вычисление 3 2 5" xfId="7760"/>
    <cellStyle name="Вычисление 3 2 5 2" xfId="7761"/>
    <cellStyle name="Вычисление 3 2 5 2 2" xfId="7762"/>
    <cellStyle name="Вычисление 3 2 5 2 3" xfId="7763"/>
    <cellStyle name="Вычисление 3 2 5 2 4" xfId="7764"/>
    <cellStyle name="Вычисление 3 2 5 3" xfId="7765"/>
    <cellStyle name="Вычисление 3 2 5 4" xfId="7766"/>
    <cellStyle name="Вычисление 3 2 5 5" xfId="7767"/>
    <cellStyle name="Вычисление 3 2 6" xfId="7768"/>
    <cellStyle name="Вычисление 3 2 6 2" xfId="7769"/>
    <cellStyle name="Вычисление 3 2 6 3" xfId="7770"/>
    <cellStyle name="Вычисление 3 2 6 4" xfId="7771"/>
    <cellStyle name="Вычисление 3 2 7" xfId="7772"/>
    <cellStyle name="Вычисление 3 2 8" xfId="7773"/>
    <cellStyle name="Вычисление 3 2 9" xfId="7774"/>
    <cellStyle name="Вычисление 3 20" xfId="7775"/>
    <cellStyle name="Вычисление 3 21" xfId="7776"/>
    <cellStyle name="Вычисление 3 22" xfId="7777"/>
    <cellStyle name="Вычисление 3 23" xfId="7778"/>
    <cellStyle name="Вычисление 3 24" xfId="7779"/>
    <cellStyle name="Вычисление 3 25" xfId="7780"/>
    <cellStyle name="Вычисление 3 26" xfId="7781"/>
    <cellStyle name="Вычисление 3 27" xfId="7782"/>
    <cellStyle name="Вычисление 3 28" xfId="7783"/>
    <cellStyle name="Вычисление 3 29" xfId="7784"/>
    <cellStyle name="Вычисление 3 3" xfId="7785"/>
    <cellStyle name="Вычисление 3 3 2" xfId="7786"/>
    <cellStyle name="Вычисление 3 3 2 2" xfId="7787"/>
    <cellStyle name="Вычисление 3 3 2 3" xfId="7788"/>
    <cellStyle name="Вычисление 3 3 2 4" xfId="7789"/>
    <cellStyle name="Вычисление 3 3 3" xfId="7790"/>
    <cellStyle name="Вычисление 3 3 4" xfId="7791"/>
    <cellStyle name="Вычисление 3 3 5" xfId="7792"/>
    <cellStyle name="Вычисление 3 30" xfId="7793"/>
    <cellStyle name="Вычисление 3 31" xfId="7794"/>
    <cellStyle name="Вычисление 3 32" xfId="7795"/>
    <cellStyle name="Вычисление 3 33" xfId="7796"/>
    <cellStyle name="Вычисление 3 34" xfId="7797"/>
    <cellStyle name="Вычисление 3 35" xfId="7798"/>
    <cellStyle name="Вычисление 3 36" xfId="7799"/>
    <cellStyle name="Вычисление 3 37" xfId="7800"/>
    <cellStyle name="Вычисление 3 38" xfId="7801"/>
    <cellStyle name="Вычисление 3 39" xfId="7802"/>
    <cellStyle name="Вычисление 3 4" xfId="7803"/>
    <cellStyle name="Вычисление 3 4 2" xfId="7804"/>
    <cellStyle name="Вычисление 3 4 2 2" xfId="7805"/>
    <cellStyle name="Вычисление 3 4 2 3" xfId="7806"/>
    <cellStyle name="Вычисление 3 4 2 4" xfId="7807"/>
    <cellStyle name="Вычисление 3 4 3" xfId="7808"/>
    <cellStyle name="Вычисление 3 4 4" xfId="7809"/>
    <cellStyle name="Вычисление 3 4 5" xfId="7810"/>
    <cellStyle name="Вычисление 3 40" xfId="7811"/>
    <cellStyle name="Вычисление 3 41" xfId="7812"/>
    <cellStyle name="Вычисление 3 42" xfId="7813"/>
    <cellStyle name="Вычисление 3 43" xfId="7814"/>
    <cellStyle name="Вычисление 3 44" xfId="7815"/>
    <cellStyle name="Вычисление 3 5" xfId="7816"/>
    <cellStyle name="Вычисление 3 5 2" xfId="7817"/>
    <cellStyle name="Вычисление 3 5 2 2" xfId="7818"/>
    <cellStyle name="Вычисление 3 5 2 3" xfId="7819"/>
    <cellStyle name="Вычисление 3 5 2 4" xfId="7820"/>
    <cellStyle name="Вычисление 3 5 3" xfId="7821"/>
    <cellStyle name="Вычисление 3 5 4" xfId="7822"/>
    <cellStyle name="Вычисление 3 5 5" xfId="7823"/>
    <cellStyle name="Вычисление 3 6" xfId="7824"/>
    <cellStyle name="Вычисление 3 6 2" xfId="7825"/>
    <cellStyle name="Вычисление 3 6 2 2" xfId="7826"/>
    <cellStyle name="Вычисление 3 6 2 3" xfId="7827"/>
    <cellStyle name="Вычисление 3 6 2 4" xfId="7828"/>
    <cellStyle name="Вычисление 3 6 3" xfId="7829"/>
    <cellStyle name="Вычисление 3 6 4" xfId="7830"/>
    <cellStyle name="Вычисление 3 6 5" xfId="7831"/>
    <cellStyle name="Вычисление 3 7" xfId="7832"/>
    <cellStyle name="Вычисление 3 7 2" xfId="7833"/>
    <cellStyle name="Вычисление 3 7 3" xfId="7834"/>
    <cellStyle name="Вычисление 3 7 4" xfId="7835"/>
    <cellStyle name="Вычисление 3 8" xfId="7836"/>
    <cellStyle name="Вычисление 3 9" xfId="7837"/>
    <cellStyle name="Вычисление 3_46EE.2011(v1.0)" xfId="7838"/>
    <cellStyle name="Вычисление 4" xfId="7839"/>
    <cellStyle name="Вычисление 4 10" xfId="7840"/>
    <cellStyle name="Вычисление 4 11" xfId="7841"/>
    <cellStyle name="Вычисление 4 12" xfId="7842"/>
    <cellStyle name="Вычисление 4 13" xfId="7843"/>
    <cellStyle name="Вычисление 4 14" xfId="7844"/>
    <cellStyle name="Вычисление 4 15" xfId="7845"/>
    <cellStyle name="Вычисление 4 16" xfId="7846"/>
    <cellStyle name="Вычисление 4 17" xfId="7847"/>
    <cellStyle name="Вычисление 4 18" xfId="7848"/>
    <cellStyle name="Вычисление 4 19" xfId="7849"/>
    <cellStyle name="Вычисление 4 2" xfId="7850"/>
    <cellStyle name="Вычисление 4 2 2" xfId="7851"/>
    <cellStyle name="Вычисление 4 2 2 2" xfId="7852"/>
    <cellStyle name="Вычисление 4 2 2 2 2" xfId="7853"/>
    <cellStyle name="Вычисление 4 2 2 2 3" xfId="7854"/>
    <cellStyle name="Вычисление 4 2 2 2 4" xfId="7855"/>
    <cellStyle name="Вычисление 4 2 2 3" xfId="7856"/>
    <cellStyle name="Вычисление 4 2 2 4" xfId="7857"/>
    <cellStyle name="Вычисление 4 2 2 5" xfId="7858"/>
    <cellStyle name="Вычисление 4 2 3" xfId="7859"/>
    <cellStyle name="Вычисление 4 2 3 2" xfId="7860"/>
    <cellStyle name="Вычисление 4 2 3 2 2" xfId="7861"/>
    <cellStyle name="Вычисление 4 2 3 2 3" xfId="7862"/>
    <cellStyle name="Вычисление 4 2 3 2 4" xfId="7863"/>
    <cellStyle name="Вычисление 4 2 3 3" xfId="7864"/>
    <cellStyle name="Вычисление 4 2 3 4" xfId="7865"/>
    <cellStyle name="Вычисление 4 2 3 5" xfId="7866"/>
    <cellStyle name="Вычисление 4 2 4" xfId="7867"/>
    <cellStyle name="Вычисление 4 2 4 2" xfId="7868"/>
    <cellStyle name="Вычисление 4 2 4 2 2" xfId="7869"/>
    <cellStyle name="Вычисление 4 2 4 2 3" xfId="7870"/>
    <cellStyle name="Вычисление 4 2 4 2 4" xfId="7871"/>
    <cellStyle name="Вычисление 4 2 4 3" xfId="7872"/>
    <cellStyle name="Вычисление 4 2 4 4" xfId="7873"/>
    <cellStyle name="Вычисление 4 2 4 5" xfId="7874"/>
    <cellStyle name="Вычисление 4 2 5" xfId="7875"/>
    <cellStyle name="Вычисление 4 2 5 2" xfId="7876"/>
    <cellStyle name="Вычисление 4 2 5 2 2" xfId="7877"/>
    <cellStyle name="Вычисление 4 2 5 2 3" xfId="7878"/>
    <cellStyle name="Вычисление 4 2 5 2 4" xfId="7879"/>
    <cellStyle name="Вычисление 4 2 5 3" xfId="7880"/>
    <cellStyle name="Вычисление 4 2 5 4" xfId="7881"/>
    <cellStyle name="Вычисление 4 2 5 5" xfId="7882"/>
    <cellStyle name="Вычисление 4 2 6" xfId="7883"/>
    <cellStyle name="Вычисление 4 2 6 2" xfId="7884"/>
    <cellStyle name="Вычисление 4 2 6 3" xfId="7885"/>
    <cellStyle name="Вычисление 4 2 6 4" xfId="7886"/>
    <cellStyle name="Вычисление 4 2 7" xfId="7887"/>
    <cellStyle name="Вычисление 4 2 8" xfId="7888"/>
    <cellStyle name="Вычисление 4 2 9" xfId="7889"/>
    <cellStyle name="Вычисление 4 20" xfId="7890"/>
    <cellStyle name="Вычисление 4 21" xfId="7891"/>
    <cellStyle name="Вычисление 4 22" xfId="7892"/>
    <cellStyle name="Вычисление 4 23" xfId="7893"/>
    <cellStyle name="Вычисление 4 24" xfId="7894"/>
    <cellStyle name="Вычисление 4 25" xfId="7895"/>
    <cellStyle name="Вычисление 4 26" xfId="7896"/>
    <cellStyle name="Вычисление 4 27" xfId="7897"/>
    <cellStyle name="Вычисление 4 28" xfId="7898"/>
    <cellStyle name="Вычисление 4 29" xfId="7899"/>
    <cellStyle name="Вычисление 4 3" xfId="7900"/>
    <cellStyle name="Вычисление 4 3 2" xfId="7901"/>
    <cellStyle name="Вычисление 4 3 2 2" xfId="7902"/>
    <cellStyle name="Вычисление 4 3 2 3" xfId="7903"/>
    <cellStyle name="Вычисление 4 3 2 4" xfId="7904"/>
    <cellStyle name="Вычисление 4 3 3" xfId="7905"/>
    <cellStyle name="Вычисление 4 3 4" xfId="7906"/>
    <cellStyle name="Вычисление 4 3 5" xfId="7907"/>
    <cellStyle name="Вычисление 4 30" xfId="7908"/>
    <cellStyle name="Вычисление 4 31" xfId="7909"/>
    <cellStyle name="Вычисление 4 32" xfId="7910"/>
    <cellStyle name="Вычисление 4 33" xfId="7911"/>
    <cellStyle name="Вычисление 4 34" xfId="7912"/>
    <cellStyle name="Вычисление 4 35" xfId="7913"/>
    <cellStyle name="Вычисление 4 36" xfId="7914"/>
    <cellStyle name="Вычисление 4 37" xfId="7915"/>
    <cellStyle name="Вычисление 4 38" xfId="7916"/>
    <cellStyle name="Вычисление 4 39" xfId="7917"/>
    <cellStyle name="Вычисление 4 4" xfId="7918"/>
    <cellStyle name="Вычисление 4 4 2" xfId="7919"/>
    <cellStyle name="Вычисление 4 4 2 2" xfId="7920"/>
    <cellStyle name="Вычисление 4 4 2 3" xfId="7921"/>
    <cellStyle name="Вычисление 4 4 2 4" xfId="7922"/>
    <cellStyle name="Вычисление 4 4 3" xfId="7923"/>
    <cellStyle name="Вычисление 4 4 4" xfId="7924"/>
    <cellStyle name="Вычисление 4 4 5" xfId="7925"/>
    <cellStyle name="Вычисление 4 40" xfId="7926"/>
    <cellStyle name="Вычисление 4 41" xfId="7927"/>
    <cellStyle name="Вычисление 4 42" xfId="7928"/>
    <cellStyle name="Вычисление 4 43" xfId="7929"/>
    <cellStyle name="Вычисление 4 44" xfId="7930"/>
    <cellStyle name="Вычисление 4 5" xfId="7931"/>
    <cellStyle name="Вычисление 4 5 2" xfId="7932"/>
    <cellStyle name="Вычисление 4 5 2 2" xfId="7933"/>
    <cellStyle name="Вычисление 4 5 2 3" xfId="7934"/>
    <cellStyle name="Вычисление 4 5 2 4" xfId="7935"/>
    <cellStyle name="Вычисление 4 5 3" xfId="7936"/>
    <cellStyle name="Вычисление 4 5 4" xfId="7937"/>
    <cellStyle name="Вычисление 4 5 5" xfId="7938"/>
    <cellStyle name="Вычисление 4 6" xfId="7939"/>
    <cellStyle name="Вычисление 4 6 2" xfId="7940"/>
    <cellStyle name="Вычисление 4 6 2 2" xfId="7941"/>
    <cellStyle name="Вычисление 4 6 2 3" xfId="7942"/>
    <cellStyle name="Вычисление 4 6 2 4" xfId="7943"/>
    <cellStyle name="Вычисление 4 6 3" xfId="7944"/>
    <cellStyle name="Вычисление 4 6 4" xfId="7945"/>
    <cellStyle name="Вычисление 4 6 5" xfId="7946"/>
    <cellStyle name="Вычисление 4 7" xfId="7947"/>
    <cellStyle name="Вычисление 4 7 2" xfId="7948"/>
    <cellStyle name="Вычисление 4 7 3" xfId="7949"/>
    <cellStyle name="Вычисление 4 7 4" xfId="7950"/>
    <cellStyle name="Вычисление 4 8" xfId="7951"/>
    <cellStyle name="Вычисление 4 9" xfId="7952"/>
    <cellStyle name="Вычисление 4_46EE.2011(v1.0)" xfId="7953"/>
    <cellStyle name="Вычисление 5" xfId="7954"/>
    <cellStyle name="Вычисление 5 10" xfId="7955"/>
    <cellStyle name="Вычисление 5 11" xfId="7956"/>
    <cellStyle name="Вычисление 5 12" xfId="7957"/>
    <cellStyle name="Вычисление 5 13" xfId="7958"/>
    <cellStyle name="Вычисление 5 14" xfId="7959"/>
    <cellStyle name="Вычисление 5 15" xfId="7960"/>
    <cellStyle name="Вычисление 5 16" xfId="7961"/>
    <cellStyle name="Вычисление 5 17" xfId="7962"/>
    <cellStyle name="Вычисление 5 18" xfId="7963"/>
    <cellStyle name="Вычисление 5 19" xfId="7964"/>
    <cellStyle name="Вычисление 5 2" xfId="7965"/>
    <cellStyle name="Вычисление 5 2 2" xfId="7966"/>
    <cellStyle name="Вычисление 5 2 2 2" xfId="7967"/>
    <cellStyle name="Вычисление 5 2 2 2 2" xfId="7968"/>
    <cellStyle name="Вычисление 5 2 2 2 3" xfId="7969"/>
    <cellStyle name="Вычисление 5 2 2 2 4" xfId="7970"/>
    <cellStyle name="Вычисление 5 2 2 3" xfId="7971"/>
    <cellStyle name="Вычисление 5 2 2 4" xfId="7972"/>
    <cellStyle name="Вычисление 5 2 2 5" xfId="7973"/>
    <cellStyle name="Вычисление 5 2 3" xfId="7974"/>
    <cellStyle name="Вычисление 5 2 3 2" xfId="7975"/>
    <cellStyle name="Вычисление 5 2 3 2 2" xfId="7976"/>
    <cellStyle name="Вычисление 5 2 3 2 3" xfId="7977"/>
    <cellStyle name="Вычисление 5 2 3 2 4" xfId="7978"/>
    <cellStyle name="Вычисление 5 2 3 3" xfId="7979"/>
    <cellStyle name="Вычисление 5 2 3 4" xfId="7980"/>
    <cellStyle name="Вычисление 5 2 3 5" xfId="7981"/>
    <cellStyle name="Вычисление 5 2 4" xfId="7982"/>
    <cellStyle name="Вычисление 5 2 4 2" xfId="7983"/>
    <cellStyle name="Вычисление 5 2 4 2 2" xfId="7984"/>
    <cellStyle name="Вычисление 5 2 4 2 3" xfId="7985"/>
    <cellStyle name="Вычисление 5 2 4 2 4" xfId="7986"/>
    <cellStyle name="Вычисление 5 2 4 3" xfId="7987"/>
    <cellStyle name="Вычисление 5 2 4 4" xfId="7988"/>
    <cellStyle name="Вычисление 5 2 4 5" xfId="7989"/>
    <cellStyle name="Вычисление 5 2 5" xfId="7990"/>
    <cellStyle name="Вычисление 5 2 5 2" xfId="7991"/>
    <cellStyle name="Вычисление 5 2 5 2 2" xfId="7992"/>
    <cellStyle name="Вычисление 5 2 5 2 3" xfId="7993"/>
    <cellStyle name="Вычисление 5 2 5 2 4" xfId="7994"/>
    <cellStyle name="Вычисление 5 2 5 3" xfId="7995"/>
    <cellStyle name="Вычисление 5 2 5 4" xfId="7996"/>
    <cellStyle name="Вычисление 5 2 5 5" xfId="7997"/>
    <cellStyle name="Вычисление 5 2 6" xfId="7998"/>
    <cellStyle name="Вычисление 5 2 6 2" xfId="7999"/>
    <cellStyle name="Вычисление 5 2 6 3" xfId="8000"/>
    <cellStyle name="Вычисление 5 2 6 4" xfId="8001"/>
    <cellStyle name="Вычисление 5 2 7" xfId="8002"/>
    <cellStyle name="Вычисление 5 2 8" xfId="8003"/>
    <cellStyle name="Вычисление 5 2 9" xfId="8004"/>
    <cellStyle name="Вычисление 5 20" xfId="8005"/>
    <cellStyle name="Вычисление 5 21" xfId="8006"/>
    <cellStyle name="Вычисление 5 22" xfId="8007"/>
    <cellStyle name="Вычисление 5 23" xfId="8008"/>
    <cellStyle name="Вычисление 5 24" xfId="8009"/>
    <cellStyle name="Вычисление 5 25" xfId="8010"/>
    <cellStyle name="Вычисление 5 26" xfId="8011"/>
    <cellStyle name="Вычисление 5 27" xfId="8012"/>
    <cellStyle name="Вычисление 5 28" xfId="8013"/>
    <cellStyle name="Вычисление 5 29" xfId="8014"/>
    <cellStyle name="Вычисление 5 3" xfId="8015"/>
    <cellStyle name="Вычисление 5 3 2" xfId="8016"/>
    <cellStyle name="Вычисление 5 3 2 2" xfId="8017"/>
    <cellStyle name="Вычисление 5 3 2 3" xfId="8018"/>
    <cellStyle name="Вычисление 5 3 2 4" xfId="8019"/>
    <cellStyle name="Вычисление 5 3 3" xfId="8020"/>
    <cellStyle name="Вычисление 5 3 4" xfId="8021"/>
    <cellStyle name="Вычисление 5 3 5" xfId="8022"/>
    <cellStyle name="Вычисление 5 30" xfId="8023"/>
    <cellStyle name="Вычисление 5 31" xfId="8024"/>
    <cellStyle name="Вычисление 5 32" xfId="8025"/>
    <cellStyle name="Вычисление 5 33" xfId="8026"/>
    <cellStyle name="Вычисление 5 34" xfId="8027"/>
    <cellStyle name="Вычисление 5 35" xfId="8028"/>
    <cellStyle name="Вычисление 5 36" xfId="8029"/>
    <cellStyle name="Вычисление 5 37" xfId="8030"/>
    <cellStyle name="Вычисление 5 38" xfId="8031"/>
    <cellStyle name="Вычисление 5 39" xfId="8032"/>
    <cellStyle name="Вычисление 5 4" xfId="8033"/>
    <cellStyle name="Вычисление 5 4 2" xfId="8034"/>
    <cellStyle name="Вычисление 5 4 2 2" xfId="8035"/>
    <cellStyle name="Вычисление 5 4 2 3" xfId="8036"/>
    <cellStyle name="Вычисление 5 4 2 4" xfId="8037"/>
    <cellStyle name="Вычисление 5 4 3" xfId="8038"/>
    <cellStyle name="Вычисление 5 4 4" xfId="8039"/>
    <cellStyle name="Вычисление 5 4 5" xfId="8040"/>
    <cellStyle name="Вычисление 5 40" xfId="8041"/>
    <cellStyle name="Вычисление 5 41" xfId="8042"/>
    <cellStyle name="Вычисление 5 42" xfId="8043"/>
    <cellStyle name="Вычисление 5 43" xfId="8044"/>
    <cellStyle name="Вычисление 5 44" xfId="8045"/>
    <cellStyle name="Вычисление 5 5" xfId="8046"/>
    <cellStyle name="Вычисление 5 5 2" xfId="8047"/>
    <cellStyle name="Вычисление 5 5 2 2" xfId="8048"/>
    <cellStyle name="Вычисление 5 5 2 3" xfId="8049"/>
    <cellStyle name="Вычисление 5 5 2 4" xfId="8050"/>
    <cellStyle name="Вычисление 5 5 3" xfId="8051"/>
    <cellStyle name="Вычисление 5 5 4" xfId="8052"/>
    <cellStyle name="Вычисление 5 5 5" xfId="8053"/>
    <cellStyle name="Вычисление 5 6" xfId="8054"/>
    <cellStyle name="Вычисление 5 6 2" xfId="8055"/>
    <cellStyle name="Вычисление 5 6 2 2" xfId="8056"/>
    <cellStyle name="Вычисление 5 6 2 3" xfId="8057"/>
    <cellStyle name="Вычисление 5 6 2 4" xfId="8058"/>
    <cellStyle name="Вычисление 5 6 3" xfId="8059"/>
    <cellStyle name="Вычисление 5 6 4" xfId="8060"/>
    <cellStyle name="Вычисление 5 6 5" xfId="8061"/>
    <cellStyle name="Вычисление 5 7" xfId="8062"/>
    <cellStyle name="Вычисление 5 7 2" xfId="8063"/>
    <cellStyle name="Вычисление 5 7 3" xfId="8064"/>
    <cellStyle name="Вычисление 5 7 4" xfId="8065"/>
    <cellStyle name="Вычисление 5 8" xfId="8066"/>
    <cellStyle name="Вычисление 5 9" xfId="8067"/>
    <cellStyle name="Вычисление 5_46EE.2011(v1.0)" xfId="8068"/>
    <cellStyle name="Вычисление 6" xfId="8069"/>
    <cellStyle name="Вычисление 6 10" xfId="8070"/>
    <cellStyle name="Вычисление 6 11" xfId="8071"/>
    <cellStyle name="Вычисление 6 12" xfId="8072"/>
    <cellStyle name="Вычисление 6 13" xfId="8073"/>
    <cellStyle name="Вычисление 6 14" xfId="8074"/>
    <cellStyle name="Вычисление 6 15" xfId="8075"/>
    <cellStyle name="Вычисление 6 16" xfId="8076"/>
    <cellStyle name="Вычисление 6 17" xfId="8077"/>
    <cellStyle name="Вычисление 6 18" xfId="8078"/>
    <cellStyle name="Вычисление 6 19" xfId="8079"/>
    <cellStyle name="Вычисление 6 2" xfId="8080"/>
    <cellStyle name="Вычисление 6 2 2" xfId="8081"/>
    <cellStyle name="Вычисление 6 2 2 2" xfId="8082"/>
    <cellStyle name="Вычисление 6 2 2 2 2" xfId="8083"/>
    <cellStyle name="Вычисление 6 2 2 2 3" xfId="8084"/>
    <cellStyle name="Вычисление 6 2 2 2 4" xfId="8085"/>
    <cellStyle name="Вычисление 6 2 2 3" xfId="8086"/>
    <cellStyle name="Вычисление 6 2 2 4" xfId="8087"/>
    <cellStyle name="Вычисление 6 2 2 5" xfId="8088"/>
    <cellStyle name="Вычисление 6 2 3" xfId="8089"/>
    <cellStyle name="Вычисление 6 2 3 2" xfId="8090"/>
    <cellStyle name="Вычисление 6 2 3 2 2" xfId="8091"/>
    <cellStyle name="Вычисление 6 2 3 2 3" xfId="8092"/>
    <cellStyle name="Вычисление 6 2 3 2 4" xfId="8093"/>
    <cellStyle name="Вычисление 6 2 3 3" xfId="8094"/>
    <cellStyle name="Вычисление 6 2 3 4" xfId="8095"/>
    <cellStyle name="Вычисление 6 2 3 5" xfId="8096"/>
    <cellStyle name="Вычисление 6 2 4" xfId="8097"/>
    <cellStyle name="Вычисление 6 2 4 2" xfId="8098"/>
    <cellStyle name="Вычисление 6 2 4 2 2" xfId="8099"/>
    <cellStyle name="Вычисление 6 2 4 2 3" xfId="8100"/>
    <cellStyle name="Вычисление 6 2 4 2 4" xfId="8101"/>
    <cellStyle name="Вычисление 6 2 4 3" xfId="8102"/>
    <cellStyle name="Вычисление 6 2 4 4" xfId="8103"/>
    <cellStyle name="Вычисление 6 2 4 5" xfId="8104"/>
    <cellStyle name="Вычисление 6 2 5" xfId="8105"/>
    <cellStyle name="Вычисление 6 2 5 2" xfId="8106"/>
    <cellStyle name="Вычисление 6 2 5 2 2" xfId="8107"/>
    <cellStyle name="Вычисление 6 2 5 2 3" xfId="8108"/>
    <cellStyle name="Вычисление 6 2 5 2 4" xfId="8109"/>
    <cellStyle name="Вычисление 6 2 5 3" xfId="8110"/>
    <cellStyle name="Вычисление 6 2 5 4" xfId="8111"/>
    <cellStyle name="Вычисление 6 2 5 5" xfId="8112"/>
    <cellStyle name="Вычисление 6 2 6" xfId="8113"/>
    <cellStyle name="Вычисление 6 2 6 2" xfId="8114"/>
    <cellStyle name="Вычисление 6 2 6 3" xfId="8115"/>
    <cellStyle name="Вычисление 6 2 6 4" xfId="8116"/>
    <cellStyle name="Вычисление 6 2 7" xfId="8117"/>
    <cellStyle name="Вычисление 6 2 8" xfId="8118"/>
    <cellStyle name="Вычисление 6 2 9" xfId="8119"/>
    <cellStyle name="Вычисление 6 20" xfId="8120"/>
    <cellStyle name="Вычисление 6 21" xfId="8121"/>
    <cellStyle name="Вычисление 6 22" xfId="8122"/>
    <cellStyle name="Вычисление 6 23" xfId="8123"/>
    <cellStyle name="Вычисление 6 24" xfId="8124"/>
    <cellStyle name="Вычисление 6 25" xfId="8125"/>
    <cellStyle name="Вычисление 6 26" xfId="8126"/>
    <cellStyle name="Вычисление 6 27" xfId="8127"/>
    <cellStyle name="Вычисление 6 28" xfId="8128"/>
    <cellStyle name="Вычисление 6 29" xfId="8129"/>
    <cellStyle name="Вычисление 6 3" xfId="8130"/>
    <cellStyle name="Вычисление 6 3 2" xfId="8131"/>
    <cellStyle name="Вычисление 6 3 2 2" xfId="8132"/>
    <cellStyle name="Вычисление 6 3 2 3" xfId="8133"/>
    <cellStyle name="Вычисление 6 3 2 4" xfId="8134"/>
    <cellStyle name="Вычисление 6 3 3" xfId="8135"/>
    <cellStyle name="Вычисление 6 3 4" xfId="8136"/>
    <cellStyle name="Вычисление 6 3 5" xfId="8137"/>
    <cellStyle name="Вычисление 6 30" xfId="8138"/>
    <cellStyle name="Вычисление 6 31" xfId="8139"/>
    <cellStyle name="Вычисление 6 32" xfId="8140"/>
    <cellStyle name="Вычисление 6 33" xfId="8141"/>
    <cellStyle name="Вычисление 6 34" xfId="8142"/>
    <cellStyle name="Вычисление 6 35" xfId="8143"/>
    <cellStyle name="Вычисление 6 36" xfId="8144"/>
    <cellStyle name="Вычисление 6 37" xfId="8145"/>
    <cellStyle name="Вычисление 6 38" xfId="8146"/>
    <cellStyle name="Вычисление 6 39" xfId="8147"/>
    <cellStyle name="Вычисление 6 4" xfId="8148"/>
    <cellStyle name="Вычисление 6 4 2" xfId="8149"/>
    <cellStyle name="Вычисление 6 4 2 2" xfId="8150"/>
    <cellStyle name="Вычисление 6 4 2 3" xfId="8151"/>
    <cellStyle name="Вычисление 6 4 2 4" xfId="8152"/>
    <cellStyle name="Вычисление 6 4 3" xfId="8153"/>
    <cellStyle name="Вычисление 6 4 4" xfId="8154"/>
    <cellStyle name="Вычисление 6 4 5" xfId="8155"/>
    <cellStyle name="Вычисление 6 40" xfId="8156"/>
    <cellStyle name="Вычисление 6 41" xfId="8157"/>
    <cellStyle name="Вычисление 6 42" xfId="8158"/>
    <cellStyle name="Вычисление 6 43" xfId="8159"/>
    <cellStyle name="Вычисление 6 44" xfId="8160"/>
    <cellStyle name="Вычисление 6 5" xfId="8161"/>
    <cellStyle name="Вычисление 6 5 2" xfId="8162"/>
    <cellStyle name="Вычисление 6 5 2 2" xfId="8163"/>
    <cellStyle name="Вычисление 6 5 2 3" xfId="8164"/>
    <cellStyle name="Вычисление 6 5 2 4" xfId="8165"/>
    <cellStyle name="Вычисление 6 5 3" xfId="8166"/>
    <cellStyle name="Вычисление 6 5 4" xfId="8167"/>
    <cellStyle name="Вычисление 6 5 5" xfId="8168"/>
    <cellStyle name="Вычисление 6 6" xfId="8169"/>
    <cellStyle name="Вычисление 6 6 2" xfId="8170"/>
    <cellStyle name="Вычисление 6 6 2 2" xfId="8171"/>
    <cellStyle name="Вычисление 6 6 2 3" xfId="8172"/>
    <cellStyle name="Вычисление 6 6 2 4" xfId="8173"/>
    <cellStyle name="Вычисление 6 6 3" xfId="8174"/>
    <cellStyle name="Вычисление 6 6 4" xfId="8175"/>
    <cellStyle name="Вычисление 6 6 5" xfId="8176"/>
    <cellStyle name="Вычисление 6 7" xfId="8177"/>
    <cellStyle name="Вычисление 6 7 2" xfId="8178"/>
    <cellStyle name="Вычисление 6 7 3" xfId="8179"/>
    <cellStyle name="Вычисление 6 7 4" xfId="8180"/>
    <cellStyle name="Вычисление 6 8" xfId="8181"/>
    <cellStyle name="Вычисление 6 9" xfId="8182"/>
    <cellStyle name="Вычисление 6_46EE.2011(v1.0)" xfId="8183"/>
    <cellStyle name="Вычисление 7" xfId="8184"/>
    <cellStyle name="Вычисление 7 10" xfId="8185"/>
    <cellStyle name="Вычисление 7 11" xfId="8186"/>
    <cellStyle name="Вычисление 7 12" xfId="8187"/>
    <cellStyle name="Вычисление 7 13" xfId="8188"/>
    <cellStyle name="Вычисление 7 14" xfId="8189"/>
    <cellStyle name="Вычисление 7 15" xfId="8190"/>
    <cellStyle name="Вычисление 7 16" xfId="8191"/>
    <cellStyle name="Вычисление 7 17" xfId="8192"/>
    <cellStyle name="Вычисление 7 18" xfId="8193"/>
    <cellStyle name="Вычисление 7 19" xfId="8194"/>
    <cellStyle name="Вычисление 7 2" xfId="8195"/>
    <cellStyle name="Вычисление 7 2 2" xfId="8196"/>
    <cellStyle name="Вычисление 7 2 2 2" xfId="8197"/>
    <cellStyle name="Вычисление 7 2 2 2 2" xfId="8198"/>
    <cellStyle name="Вычисление 7 2 2 2 3" xfId="8199"/>
    <cellStyle name="Вычисление 7 2 2 2 4" xfId="8200"/>
    <cellStyle name="Вычисление 7 2 2 3" xfId="8201"/>
    <cellStyle name="Вычисление 7 2 2 4" xfId="8202"/>
    <cellStyle name="Вычисление 7 2 2 5" xfId="8203"/>
    <cellStyle name="Вычисление 7 2 3" xfId="8204"/>
    <cellStyle name="Вычисление 7 2 3 2" xfId="8205"/>
    <cellStyle name="Вычисление 7 2 3 2 2" xfId="8206"/>
    <cellStyle name="Вычисление 7 2 3 2 3" xfId="8207"/>
    <cellStyle name="Вычисление 7 2 3 2 4" xfId="8208"/>
    <cellStyle name="Вычисление 7 2 3 3" xfId="8209"/>
    <cellStyle name="Вычисление 7 2 3 4" xfId="8210"/>
    <cellStyle name="Вычисление 7 2 3 5" xfId="8211"/>
    <cellStyle name="Вычисление 7 2 4" xfId="8212"/>
    <cellStyle name="Вычисление 7 2 4 2" xfId="8213"/>
    <cellStyle name="Вычисление 7 2 4 2 2" xfId="8214"/>
    <cellStyle name="Вычисление 7 2 4 2 3" xfId="8215"/>
    <cellStyle name="Вычисление 7 2 4 2 4" xfId="8216"/>
    <cellStyle name="Вычисление 7 2 4 3" xfId="8217"/>
    <cellStyle name="Вычисление 7 2 4 4" xfId="8218"/>
    <cellStyle name="Вычисление 7 2 4 5" xfId="8219"/>
    <cellStyle name="Вычисление 7 2 5" xfId="8220"/>
    <cellStyle name="Вычисление 7 2 5 2" xfId="8221"/>
    <cellStyle name="Вычисление 7 2 5 2 2" xfId="8222"/>
    <cellStyle name="Вычисление 7 2 5 2 3" xfId="8223"/>
    <cellStyle name="Вычисление 7 2 5 2 4" xfId="8224"/>
    <cellStyle name="Вычисление 7 2 5 3" xfId="8225"/>
    <cellStyle name="Вычисление 7 2 5 4" xfId="8226"/>
    <cellStyle name="Вычисление 7 2 5 5" xfId="8227"/>
    <cellStyle name="Вычисление 7 2 6" xfId="8228"/>
    <cellStyle name="Вычисление 7 2 6 2" xfId="8229"/>
    <cellStyle name="Вычисление 7 2 6 3" xfId="8230"/>
    <cellStyle name="Вычисление 7 2 6 4" xfId="8231"/>
    <cellStyle name="Вычисление 7 2 7" xfId="8232"/>
    <cellStyle name="Вычисление 7 2 8" xfId="8233"/>
    <cellStyle name="Вычисление 7 2 9" xfId="8234"/>
    <cellStyle name="Вычисление 7 20" xfId="8235"/>
    <cellStyle name="Вычисление 7 21" xfId="8236"/>
    <cellStyle name="Вычисление 7 22" xfId="8237"/>
    <cellStyle name="Вычисление 7 23" xfId="8238"/>
    <cellStyle name="Вычисление 7 24" xfId="8239"/>
    <cellStyle name="Вычисление 7 25" xfId="8240"/>
    <cellStyle name="Вычисление 7 26" xfId="8241"/>
    <cellStyle name="Вычисление 7 27" xfId="8242"/>
    <cellStyle name="Вычисление 7 28" xfId="8243"/>
    <cellStyle name="Вычисление 7 29" xfId="8244"/>
    <cellStyle name="Вычисление 7 3" xfId="8245"/>
    <cellStyle name="Вычисление 7 3 2" xfId="8246"/>
    <cellStyle name="Вычисление 7 3 2 2" xfId="8247"/>
    <cellStyle name="Вычисление 7 3 2 3" xfId="8248"/>
    <cellStyle name="Вычисление 7 3 2 4" xfId="8249"/>
    <cellStyle name="Вычисление 7 3 3" xfId="8250"/>
    <cellStyle name="Вычисление 7 3 4" xfId="8251"/>
    <cellStyle name="Вычисление 7 3 5" xfId="8252"/>
    <cellStyle name="Вычисление 7 30" xfId="8253"/>
    <cellStyle name="Вычисление 7 31" xfId="8254"/>
    <cellStyle name="Вычисление 7 32" xfId="8255"/>
    <cellStyle name="Вычисление 7 33" xfId="8256"/>
    <cellStyle name="Вычисление 7 34" xfId="8257"/>
    <cellStyle name="Вычисление 7 35" xfId="8258"/>
    <cellStyle name="Вычисление 7 36" xfId="8259"/>
    <cellStyle name="Вычисление 7 37" xfId="8260"/>
    <cellStyle name="Вычисление 7 38" xfId="8261"/>
    <cellStyle name="Вычисление 7 39" xfId="8262"/>
    <cellStyle name="Вычисление 7 4" xfId="8263"/>
    <cellStyle name="Вычисление 7 4 2" xfId="8264"/>
    <cellStyle name="Вычисление 7 4 2 2" xfId="8265"/>
    <cellStyle name="Вычисление 7 4 2 3" xfId="8266"/>
    <cellStyle name="Вычисление 7 4 2 4" xfId="8267"/>
    <cellStyle name="Вычисление 7 4 3" xfId="8268"/>
    <cellStyle name="Вычисление 7 4 4" xfId="8269"/>
    <cellStyle name="Вычисление 7 4 5" xfId="8270"/>
    <cellStyle name="Вычисление 7 40" xfId="8271"/>
    <cellStyle name="Вычисление 7 41" xfId="8272"/>
    <cellStyle name="Вычисление 7 42" xfId="8273"/>
    <cellStyle name="Вычисление 7 43" xfId="8274"/>
    <cellStyle name="Вычисление 7 44" xfId="8275"/>
    <cellStyle name="Вычисление 7 5" xfId="8276"/>
    <cellStyle name="Вычисление 7 5 2" xfId="8277"/>
    <cellStyle name="Вычисление 7 5 2 2" xfId="8278"/>
    <cellStyle name="Вычисление 7 5 2 3" xfId="8279"/>
    <cellStyle name="Вычисление 7 5 2 4" xfId="8280"/>
    <cellStyle name="Вычисление 7 5 3" xfId="8281"/>
    <cellStyle name="Вычисление 7 5 4" xfId="8282"/>
    <cellStyle name="Вычисление 7 5 5" xfId="8283"/>
    <cellStyle name="Вычисление 7 6" xfId="8284"/>
    <cellStyle name="Вычисление 7 6 2" xfId="8285"/>
    <cellStyle name="Вычисление 7 6 2 2" xfId="8286"/>
    <cellStyle name="Вычисление 7 6 2 3" xfId="8287"/>
    <cellStyle name="Вычисление 7 6 2 4" xfId="8288"/>
    <cellStyle name="Вычисление 7 6 3" xfId="8289"/>
    <cellStyle name="Вычисление 7 6 4" xfId="8290"/>
    <cellStyle name="Вычисление 7 6 5" xfId="8291"/>
    <cellStyle name="Вычисление 7 7" xfId="8292"/>
    <cellStyle name="Вычисление 7 7 2" xfId="8293"/>
    <cellStyle name="Вычисление 7 7 3" xfId="8294"/>
    <cellStyle name="Вычисление 7 7 4" xfId="8295"/>
    <cellStyle name="Вычисление 7 8" xfId="8296"/>
    <cellStyle name="Вычисление 7 9" xfId="8297"/>
    <cellStyle name="Вычисление 7_46EE.2011(v1.0)" xfId="8298"/>
    <cellStyle name="Вычисление 8" xfId="8299"/>
    <cellStyle name="Вычисление 8 10" xfId="8300"/>
    <cellStyle name="Вычисление 8 2" xfId="8301"/>
    <cellStyle name="Вычисление 8 2 2" xfId="8302"/>
    <cellStyle name="Вычисление 8 2 2 2" xfId="8303"/>
    <cellStyle name="Вычисление 8 2 2 2 2" xfId="8304"/>
    <cellStyle name="Вычисление 8 2 2 2 3" xfId="8305"/>
    <cellStyle name="Вычисление 8 2 2 2 4" xfId="8306"/>
    <cellStyle name="Вычисление 8 2 2 3" xfId="8307"/>
    <cellStyle name="Вычисление 8 2 2 4" xfId="8308"/>
    <cellStyle name="Вычисление 8 2 2 5" xfId="8309"/>
    <cellStyle name="Вычисление 8 2 3" xfId="8310"/>
    <cellStyle name="Вычисление 8 2 3 2" xfId="8311"/>
    <cellStyle name="Вычисление 8 2 3 2 2" xfId="8312"/>
    <cellStyle name="Вычисление 8 2 3 2 3" xfId="8313"/>
    <cellStyle name="Вычисление 8 2 3 2 4" xfId="8314"/>
    <cellStyle name="Вычисление 8 2 3 3" xfId="8315"/>
    <cellStyle name="Вычисление 8 2 3 4" xfId="8316"/>
    <cellStyle name="Вычисление 8 2 3 5" xfId="8317"/>
    <cellStyle name="Вычисление 8 2 4" xfId="8318"/>
    <cellStyle name="Вычисление 8 2 4 2" xfId="8319"/>
    <cellStyle name="Вычисление 8 2 4 2 2" xfId="8320"/>
    <cellStyle name="Вычисление 8 2 4 2 3" xfId="8321"/>
    <cellStyle name="Вычисление 8 2 4 2 4" xfId="8322"/>
    <cellStyle name="Вычисление 8 2 4 3" xfId="8323"/>
    <cellStyle name="Вычисление 8 2 4 4" xfId="8324"/>
    <cellStyle name="Вычисление 8 2 4 5" xfId="8325"/>
    <cellStyle name="Вычисление 8 2 5" xfId="8326"/>
    <cellStyle name="Вычисление 8 2 5 2" xfId="8327"/>
    <cellStyle name="Вычисление 8 2 5 2 2" xfId="8328"/>
    <cellStyle name="Вычисление 8 2 5 2 3" xfId="8329"/>
    <cellStyle name="Вычисление 8 2 5 2 4" xfId="8330"/>
    <cellStyle name="Вычисление 8 2 5 3" xfId="8331"/>
    <cellStyle name="Вычисление 8 2 5 4" xfId="8332"/>
    <cellStyle name="Вычисление 8 2 5 5" xfId="8333"/>
    <cellStyle name="Вычисление 8 2 6" xfId="8334"/>
    <cellStyle name="Вычисление 8 2 6 2" xfId="8335"/>
    <cellStyle name="Вычисление 8 2 6 3" xfId="8336"/>
    <cellStyle name="Вычисление 8 2 6 4" xfId="8337"/>
    <cellStyle name="Вычисление 8 2 7" xfId="8338"/>
    <cellStyle name="Вычисление 8 2 8" xfId="8339"/>
    <cellStyle name="Вычисление 8 2 9" xfId="8340"/>
    <cellStyle name="Вычисление 8 3" xfId="8341"/>
    <cellStyle name="Вычисление 8 3 2" xfId="8342"/>
    <cellStyle name="Вычисление 8 3 2 2" xfId="8343"/>
    <cellStyle name="Вычисление 8 3 2 3" xfId="8344"/>
    <cellStyle name="Вычисление 8 3 2 4" xfId="8345"/>
    <cellStyle name="Вычисление 8 3 3" xfId="8346"/>
    <cellStyle name="Вычисление 8 3 4" xfId="8347"/>
    <cellStyle name="Вычисление 8 3 5" xfId="8348"/>
    <cellStyle name="Вычисление 8 4" xfId="8349"/>
    <cellStyle name="Вычисление 8 4 2" xfId="8350"/>
    <cellStyle name="Вычисление 8 4 2 2" xfId="8351"/>
    <cellStyle name="Вычисление 8 4 2 3" xfId="8352"/>
    <cellStyle name="Вычисление 8 4 2 4" xfId="8353"/>
    <cellStyle name="Вычисление 8 4 3" xfId="8354"/>
    <cellStyle name="Вычисление 8 4 4" xfId="8355"/>
    <cellStyle name="Вычисление 8 4 5" xfId="8356"/>
    <cellStyle name="Вычисление 8 5" xfId="8357"/>
    <cellStyle name="Вычисление 8 5 2" xfId="8358"/>
    <cellStyle name="Вычисление 8 5 2 2" xfId="8359"/>
    <cellStyle name="Вычисление 8 5 2 3" xfId="8360"/>
    <cellStyle name="Вычисление 8 5 2 4" xfId="8361"/>
    <cellStyle name="Вычисление 8 5 3" xfId="8362"/>
    <cellStyle name="Вычисление 8 5 4" xfId="8363"/>
    <cellStyle name="Вычисление 8 5 5" xfId="8364"/>
    <cellStyle name="Вычисление 8 6" xfId="8365"/>
    <cellStyle name="Вычисление 8 6 2" xfId="8366"/>
    <cellStyle name="Вычисление 8 6 2 2" xfId="8367"/>
    <cellStyle name="Вычисление 8 6 2 3" xfId="8368"/>
    <cellStyle name="Вычисление 8 6 2 4" xfId="8369"/>
    <cellStyle name="Вычисление 8 6 3" xfId="8370"/>
    <cellStyle name="Вычисление 8 6 4" xfId="8371"/>
    <cellStyle name="Вычисление 8 6 5" xfId="8372"/>
    <cellStyle name="Вычисление 8 7" xfId="8373"/>
    <cellStyle name="Вычисление 8 7 2" xfId="8374"/>
    <cellStyle name="Вычисление 8 7 3" xfId="8375"/>
    <cellStyle name="Вычисление 8 7 4" xfId="8376"/>
    <cellStyle name="Вычисление 8 8" xfId="8377"/>
    <cellStyle name="Вычисление 8 9" xfId="8378"/>
    <cellStyle name="Вычисление 8_46EE.2011(v1.0)" xfId="8379"/>
    <cellStyle name="Вычисление 9" xfId="8380"/>
    <cellStyle name="Вычисление 9 10" xfId="8381"/>
    <cellStyle name="Вычисление 9 2" xfId="8382"/>
    <cellStyle name="Вычисление 9 2 2" xfId="8383"/>
    <cellStyle name="Вычисление 9 2 2 2" xfId="8384"/>
    <cellStyle name="Вычисление 9 2 2 2 2" xfId="8385"/>
    <cellStyle name="Вычисление 9 2 2 2 3" xfId="8386"/>
    <cellStyle name="Вычисление 9 2 2 2 4" xfId="8387"/>
    <cellStyle name="Вычисление 9 2 2 3" xfId="8388"/>
    <cellStyle name="Вычисление 9 2 2 4" xfId="8389"/>
    <cellStyle name="Вычисление 9 2 2 5" xfId="8390"/>
    <cellStyle name="Вычисление 9 2 3" xfId="8391"/>
    <cellStyle name="Вычисление 9 2 3 2" xfId="8392"/>
    <cellStyle name="Вычисление 9 2 3 2 2" xfId="8393"/>
    <cellStyle name="Вычисление 9 2 3 2 3" xfId="8394"/>
    <cellStyle name="Вычисление 9 2 3 2 4" xfId="8395"/>
    <cellStyle name="Вычисление 9 2 3 3" xfId="8396"/>
    <cellStyle name="Вычисление 9 2 3 4" xfId="8397"/>
    <cellStyle name="Вычисление 9 2 3 5" xfId="8398"/>
    <cellStyle name="Вычисление 9 2 4" xfId="8399"/>
    <cellStyle name="Вычисление 9 2 4 2" xfId="8400"/>
    <cellStyle name="Вычисление 9 2 4 2 2" xfId="8401"/>
    <cellStyle name="Вычисление 9 2 4 2 3" xfId="8402"/>
    <cellStyle name="Вычисление 9 2 4 2 4" xfId="8403"/>
    <cellStyle name="Вычисление 9 2 4 3" xfId="8404"/>
    <cellStyle name="Вычисление 9 2 4 4" xfId="8405"/>
    <cellStyle name="Вычисление 9 2 4 5" xfId="8406"/>
    <cellStyle name="Вычисление 9 2 5" xfId="8407"/>
    <cellStyle name="Вычисление 9 2 5 2" xfId="8408"/>
    <cellStyle name="Вычисление 9 2 5 2 2" xfId="8409"/>
    <cellStyle name="Вычисление 9 2 5 2 3" xfId="8410"/>
    <cellStyle name="Вычисление 9 2 5 2 4" xfId="8411"/>
    <cellStyle name="Вычисление 9 2 5 3" xfId="8412"/>
    <cellStyle name="Вычисление 9 2 5 4" xfId="8413"/>
    <cellStyle name="Вычисление 9 2 5 5" xfId="8414"/>
    <cellStyle name="Вычисление 9 2 6" xfId="8415"/>
    <cellStyle name="Вычисление 9 2 6 2" xfId="8416"/>
    <cellStyle name="Вычисление 9 2 6 3" xfId="8417"/>
    <cellStyle name="Вычисление 9 2 6 4" xfId="8418"/>
    <cellStyle name="Вычисление 9 2 7" xfId="8419"/>
    <cellStyle name="Вычисление 9 2 8" xfId="8420"/>
    <cellStyle name="Вычисление 9 2 9" xfId="8421"/>
    <cellStyle name="Вычисление 9 3" xfId="8422"/>
    <cellStyle name="Вычисление 9 3 2" xfId="8423"/>
    <cellStyle name="Вычисление 9 3 2 2" xfId="8424"/>
    <cellStyle name="Вычисление 9 3 2 3" xfId="8425"/>
    <cellStyle name="Вычисление 9 3 2 4" xfId="8426"/>
    <cellStyle name="Вычисление 9 3 3" xfId="8427"/>
    <cellStyle name="Вычисление 9 3 4" xfId="8428"/>
    <cellStyle name="Вычисление 9 3 5" xfId="8429"/>
    <cellStyle name="Вычисление 9 4" xfId="8430"/>
    <cellStyle name="Вычисление 9 4 2" xfId="8431"/>
    <cellStyle name="Вычисление 9 4 2 2" xfId="8432"/>
    <cellStyle name="Вычисление 9 4 2 3" xfId="8433"/>
    <cellStyle name="Вычисление 9 4 2 4" xfId="8434"/>
    <cellStyle name="Вычисление 9 4 3" xfId="8435"/>
    <cellStyle name="Вычисление 9 4 4" xfId="8436"/>
    <cellStyle name="Вычисление 9 4 5" xfId="8437"/>
    <cellStyle name="Вычисление 9 5" xfId="8438"/>
    <cellStyle name="Вычисление 9 5 2" xfId="8439"/>
    <cellStyle name="Вычисление 9 5 2 2" xfId="8440"/>
    <cellStyle name="Вычисление 9 5 2 3" xfId="8441"/>
    <cellStyle name="Вычисление 9 5 2 4" xfId="8442"/>
    <cellStyle name="Вычисление 9 5 3" xfId="8443"/>
    <cellStyle name="Вычисление 9 5 4" xfId="8444"/>
    <cellStyle name="Вычисление 9 5 5" xfId="8445"/>
    <cellStyle name="Вычисление 9 6" xfId="8446"/>
    <cellStyle name="Вычисление 9 6 2" xfId="8447"/>
    <cellStyle name="Вычисление 9 6 2 2" xfId="8448"/>
    <cellStyle name="Вычисление 9 6 2 3" xfId="8449"/>
    <cellStyle name="Вычисление 9 6 2 4" xfId="8450"/>
    <cellStyle name="Вычисление 9 6 3" xfId="8451"/>
    <cellStyle name="Вычисление 9 6 4" xfId="8452"/>
    <cellStyle name="Вычисление 9 6 5" xfId="8453"/>
    <cellStyle name="Вычисление 9 7" xfId="8454"/>
    <cellStyle name="Вычисление 9 7 2" xfId="8455"/>
    <cellStyle name="Вычисление 9 7 3" xfId="8456"/>
    <cellStyle name="Вычисление 9 7 4" xfId="8457"/>
    <cellStyle name="Вычисление 9 8" xfId="8458"/>
    <cellStyle name="Вычисление 9 9" xfId="8459"/>
    <cellStyle name="Вычисление 9_46EE.2011(v1.0)" xfId="8460"/>
    <cellStyle name="Гиперссылка" xfId="16846" builtinId="8" hidden="1"/>
    <cellStyle name="Гиперссылка" xfId="16848" builtinId="8" hidden="1"/>
    <cellStyle name="Гиперссылка" xfId="16850" builtinId="8" hidden="1"/>
    <cellStyle name="Гиперссылка" xfId="16852" builtinId="8" hidden="1"/>
    <cellStyle name="Гиперссылка" xfId="16854" builtinId="8" hidden="1"/>
    <cellStyle name="Гиперссылка" xfId="16856" builtinId="8" hidden="1"/>
    <cellStyle name="Гиперссылка 10" xfId="8461"/>
    <cellStyle name="Гиперссылка 11" xfId="8462"/>
    <cellStyle name="Гиперссылка 2" xfId="8463"/>
    <cellStyle name="Гиперссылка 2 2" xfId="8464"/>
    <cellStyle name="Гиперссылка 2 2 2" xfId="8465"/>
    <cellStyle name="Гиперссылка 2 3" xfId="8466"/>
    <cellStyle name="Гиперссылка 2_ARMRAZR" xfId="8467"/>
    <cellStyle name="Гиперссылка 3" xfId="8468"/>
    <cellStyle name="Гиперссылка 4" xfId="8469"/>
    <cellStyle name="Гиперссылка 4 2" xfId="8470"/>
    <cellStyle name="Гиперссылка 4 6" xfId="8471"/>
    <cellStyle name="Гиперссылка 5" xfId="8472"/>
    <cellStyle name="Гиперссылка 6" xfId="8473"/>
    <cellStyle name="Гиперссылка 7" xfId="8474"/>
    <cellStyle name="Гиперссылка 8" xfId="8475"/>
    <cellStyle name="Гиперссылка 9" xfId="8476"/>
    <cellStyle name="Группа" xfId="8477"/>
    <cellStyle name="Группа 0" xfId="8478"/>
    <cellStyle name="Группа 0 2" xfId="8479"/>
    <cellStyle name="Группа 0 2 2" xfId="8480"/>
    <cellStyle name="Группа 0 2 2 2" xfId="8481"/>
    <cellStyle name="Группа 0 2 2 3" xfId="8482"/>
    <cellStyle name="Группа 0 2 2 4" xfId="8483"/>
    <cellStyle name="Группа 0 2 3" xfId="8484"/>
    <cellStyle name="Группа 0 2 4" xfId="8485"/>
    <cellStyle name="Группа 0 2 5" xfId="8486"/>
    <cellStyle name="Группа 0 3" xfId="8487"/>
    <cellStyle name="Группа 0 3 2" xfId="8488"/>
    <cellStyle name="Группа 0 3 2 2" xfId="8489"/>
    <cellStyle name="Группа 0 3 2 3" xfId="8490"/>
    <cellStyle name="Группа 0 3 2 4" xfId="8491"/>
    <cellStyle name="Группа 0 3 3" xfId="8492"/>
    <cellStyle name="Группа 0 3 4" xfId="8493"/>
    <cellStyle name="Группа 0 3 5" xfId="8494"/>
    <cellStyle name="Группа 0 4" xfId="8495"/>
    <cellStyle name="Группа 0 4 2" xfId="8496"/>
    <cellStyle name="Группа 0 4 2 2" xfId="8497"/>
    <cellStyle name="Группа 0 4 2 3" xfId="8498"/>
    <cellStyle name="Группа 0 4 2 4" xfId="8499"/>
    <cellStyle name="Группа 0 4 3" xfId="8500"/>
    <cellStyle name="Группа 0 4 4" xfId="8501"/>
    <cellStyle name="Группа 0 4 5" xfId="8502"/>
    <cellStyle name="Группа 0 5" xfId="8503"/>
    <cellStyle name="Группа 0 5 2" xfId="8504"/>
    <cellStyle name="Группа 0 5 3" xfId="8505"/>
    <cellStyle name="Группа 0 5 4" xfId="8506"/>
    <cellStyle name="Группа 0 6" xfId="8507"/>
    <cellStyle name="Группа 0 7" xfId="8508"/>
    <cellStyle name="Группа 0 8" xfId="8509"/>
    <cellStyle name="Группа 1" xfId="8510"/>
    <cellStyle name="Группа 1 2" xfId="8511"/>
    <cellStyle name="Группа 1 2 2" xfId="8512"/>
    <cellStyle name="Группа 1 2 2 2" xfId="8513"/>
    <cellStyle name="Группа 1 2 2 3" xfId="8514"/>
    <cellStyle name="Группа 1 2 2 4" xfId="8515"/>
    <cellStyle name="Группа 1 2 3" xfId="8516"/>
    <cellStyle name="Группа 1 2 4" xfId="8517"/>
    <cellStyle name="Группа 1 2 5" xfId="8518"/>
    <cellStyle name="Группа 1 3" xfId="8519"/>
    <cellStyle name="Группа 1 3 2" xfId="8520"/>
    <cellStyle name="Группа 1 3 2 2" xfId="8521"/>
    <cellStyle name="Группа 1 3 2 3" xfId="8522"/>
    <cellStyle name="Группа 1 3 2 4" xfId="8523"/>
    <cellStyle name="Группа 1 3 3" xfId="8524"/>
    <cellStyle name="Группа 1 3 4" xfId="8525"/>
    <cellStyle name="Группа 1 3 5" xfId="8526"/>
    <cellStyle name="Группа 1 4" xfId="8527"/>
    <cellStyle name="Группа 1 4 2" xfId="8528"/>
    <cellStyle name="Группа 1 4 2 2" xfId="8529"/>
    <cellStyle name="Группа 1 4 2 3" xfId="8530"/>
    <cellStyle name="Группа 1 4 2 4" xfId="8531"/>
    <cellStyle name="Группа 1 4 3" xfId="8532"/>
    <cellStyle name="Группа 1 4 4" xfId="8533"/>
    <cellStyle name="Группа 1 4 5" xfId="8534"/>
    <cellStyle name="Группа 1 5" xfId="8535"/>
    <cellStyle name="Группа 1 5 2" xfId="8536"/>
    <cellStyle name="Группа 1 5 3" xfId="8537"/>
    <cellStyle name="Группа 1 5 4" xfId="8538"/>
    <cellStyle name="Группа 1 6" xfId="8539"/>
    <cellStyle name="Группа 1 7" xfId="8540"/>
    <cellStyle name="Группа 1 8" xfId="8541"/>
    <cellStyle name="Группа 10" xfId="8542"/>
    <cellStyle name="Группа 10 2" xfId="8543"/>
    <cellStyle name="Группа 10 2 2" xfId="8544"/>
    <cellStyle name="Группа 10 2 3" xfId="8545"/>
    <cellStyle name="Группа 10 2 4" xfId="8546"/>
    <cellStyle name="Группа 10 3" xfId="8547"/>
    <cellStyle name="Группа 10 4" xfId="8548"/>
    <cellStyle name="Группа 10 5" xfId="8549"/>
    <cellStyle name="Группа 11" xfId="8550"/>
    <cellStyle name="Группа 11 2" xfId="8551"/>
    <cellStyle name="Группа 11 2 2" xfId="8552"/>
    <cellStyle name="Группа 11 2 3" xfId="8553"/>
    <cellStyle name="Группа 11 2 4" xfId="8554"/>
    <cellStyle name="Группа 11 3" xfId="8555"/>
    <cellStyle name="Группа 11 4" xfId="8556"/>
    <cellStyle name="Группа 11 5" xfId="8557"/>
    <cellStyle name="Группа 12" xfId="8558"/>
    <cellStyle name="Группа 12 2" xfId="8559"/>
    <cellStyle name="Группа 12 3" xfId="8560"/>
    <cellStyle name="Группа 12 4" xfId="8561"/>
    <cellStyle name="Группа 13" xfId="8562"/>
    <cellStyle name="Группа 14" xfId="8563"/>
    <cellStyle name="Группа 15" xfId="8564"/>
    <cellStyle name="Группа 2" xfId="8565"/>
    <cellStyle name="Группа 2 2" xfId="8566"/>
    <cellStyle name="Группа 2 2 2" xfId="8567"/>
    <cellStyle name="Группа 2 2 2 2" xfId="8568"/>
    <cellStyle name="Группа 2 2 2 3" xfId="8569"/>
    <cellStyle name="Группа 2 2 2 4" xfId="8570"/>
    <cellStyle name="Группа 2 2 3" xfId="8571"/>
    <cellStyle name="Группа 2 2 4" xfId="8572"/>
    <cellStyle name="Группа 2 2 5" xfId="8573"/>
    <cellStyle name="Группа 2 3" xfId="8574"/>
    <cellStyle name="Группа 2 3 2" xfId="8575"/>
    <cellStyle name="Группа 2 3 2 2" xfId="8576"/>
    <cellStyle name="Группа 2 3 2 3" xfId="8577"/>
    <cellStyle name="Группа 2 3 2 4" xfId="8578"/>
    <cellStyle name="Группа 2 3 3" xfId="8579"/>
    <cellStyle name="Группа 2 3 4" xfId="8580"/>
    <cellStyle name="Группа 2 3 5" xfId="8581"/>
    <cellStyle name="Группа 2 4" xfId="8582"/>
    <cellStyle name="Группа 2 4 2" xfId="8583"/>
    <cellStyle name="Группа 2 4 2 2" xfId="8584"/>
    <cellStyle name="Группа 2 4 2 3" xfId="8585"/>
    <cellStyle name="Группа 2 4 2 4" xfId="8586"/>
    <cellStyle name="Группа 2 4 3" xfId="8587"/>
    <cellStyle name="Группа 2 4 4" xfId="8588"/>
    <cellStyle name="Группа 2 4 5" xfId="8589"/>
    <cellStyle name="Группа 2 5" xfId="8590"/>
    <cellStyle name="Группа 2 5 2" xfId="8591"/>
    <cellStyle name="Группа 2 5 3" xfId="8592"/>
    <cellStyle name="Группа 2 5 4" xfId="8593"/>
    <cellStyle name="Группа 2 6" xfId="8594"/>
    <cellStyle name="Группа 2 7" xfId="8595"/>
    <cellStyle name="Группа 2 8" xfId="8596"/>
    <cellStyle name="Группа 3" xfId="8597"/>
    <cellStyle name="Группа 3 2" xfId="8598"/>
    <cellStyle name="Группа 3 2 2" xfId="8599"/>
    <cellStyle name="Группа 3 2 2 2" xfId="8600"/>
    <cellStyle name="Группа 3 2 2 3" xfId="8601"/>
    <cellStyle name="Группа 3 2 2 4" xfId="8602"/>
    <cellStyle name="Группа 3 2 3" xfId="8603"/>
    <cellStyle name="Группа 3 2 4" xfId="8604"/>
    <cellStyle name="Группа 3 2 5" xfId="8605"/>
    <cellStyle name="Группа 3 3" xfId="8606"/>
    <cellStyle name="Группа 3 3 2" xfId="8607"/>
    <cellStyle name="Группа 3 3 2 2" xfId="8608"/>
    <cellStyle name="Группа 3 3 2 3" xfId="8609"/>
    <cellStyle name="Группа 3 3 2 4" xfId="8610"/>
    <cellStyle name="Группа 3 3 3" xfId="8611"/>
    <cellStyle name="Группа 3 3 4" xfId="8612"/>
    <cellStyle name="Группа 3 3 5" xfId="8613"/>
    <cellStyle name="Группа 3 4" xfId="8614"/>
    <cellStyle name="Группа 3 4 2" xfId="8615"/>
    <cellStyle name="Группа 3 4 2 2" xfId="8616"/>
    <cellStyle name="Группа 3 4 2 3" xfId="8617"/>
    <cellStyle name="Группа 3 4 2 4" xfId="8618"/>
    <cellStyle name="Группа 3 4 3" xfId="8619"/>
    <cellStyle name="Группа 3 4 4" xfId="8620"/>
    <cellStyle name="Группа 3 4 5" xfId="8621"/>
    <cellStyle name="Группа 3 5" xfId="8622"/>
    <cellStyle name="Группа 3 5 2" xfId="8623"/>
    <cellStyle name="Группа 3 5 3" xfId="8624"/>
    <cellStyle name="Группа 3 5 4" xfId="8625"/>
    <cellStyle name="Группа 3 6" xfId="8626"/>
    <cellStyle name="Группа 3 7" xfId="8627"/>
    <cellStyle name="Группа 3 8" xfId="8628"/>
    <cellStyle name="Группа 4" xfId="8629"/>
    <cellStyle name="Группа 4 2" xfId="8630"/>
    <cellStyle name="Группа 4 2 2" xfId="8631"/>
    <cellStyle name="Группа 4 2 2 2" xfId="8632"/>
    <cellStyle name="Группа 4 2 2 3" xfId="8633"/>
    <cellStyle name="Группа 4 2 2 4" xfId="8634"/>
    <cellStyle name="Группа 4 2 3" xfId="8635"/>
    <cellStyle name="Группа 4 2 4" xfId="8636"/>
    <cellStyle name="Группа 4 2 5" xfId="8637"/>
    <cellStyle name="Группа 4 3" xfId="8638"/>
    <cellStyle name="Группа 4 3 2" xfId="8639"/>
    <cellStyle name="Группа 4 3 2 2" xfId="8640"/>
    <cellStyle name="Группа 4 3 2 3" xfId="8641"/>
    <cellStyle name="Группа 4 3 2 4" xfId="8642"/>
    <cellStyle name="Группа 4 3 3" xfId="8643"/>
    <cellStyle name="Группа 4 3 4" xfId="8644"/>
    <cellStyle name="Группа 4 3 5" xfId="8645"/>
    <cellStyle name="Группа 4 4" xfId="8646"/>
    <cellStyle name="Группа 4 4 2" xfId="8647"/>
    <cellStyle name="Группа 4 4 2 2" xfId="8648"/>
    <cellStyle name="Группа 4 4 2 3" xfId="8649"/>
    <cellStyle name="Группа 4 4 2 4" xfId="8650"/>
    <cellStyle name="Группа 4 4 3" xfId="8651"/>
    <cellStyle name="Группа 4 4 4" xfId="8652"/>
    <cellStyle name="Группа 4 4 5" xfId="8653"/>
    <cellStyle name="Группа 4 5" xfId="8654"/>
    <cellStyle name="Группа 4 5 2" xfId="8655"/>
    <cellStyle name="Группа 4 5 3" xfId="8656"/>
    <cellStyle name="Группа 4 5 4" xfId="8657"/>
    <cellStyle name="Группа 4 6" xfId="8658"/>
    <cellStyle name="Группа 4 7" xfId="8659"/>
    <cellStyle name="Группа 4 8" xfId="8660"/>
    <cellStyle name="Группа 5" xfId="8661"/>
    <cellStyle name="Группа 5 2" xfId="8662"/>
    <cellStyle name="Группа 5 2 2" xfId="8663"/>
    <cellStyle name="Группа 5 2 2 2" xfId="8664"/>
    <cellStyle name="Группа 5 2 2 3" xfId="8665"/>
    <cellStyle name="Группа 5 2 2 4" xfId="8666"/>
    <cellStyle name="Группа 5 2 3" xfId="8667"/>
    <cellStyle name="Группа 5 2 4" xfId="8668"/>
    <cellStyle name="Группа 5 2 5" xfId="8669"/>
    <cellStyle name="Группа 5 3" xfId="8670"/>
    <cellStyle name="Группа 5 3 2" xfId="8671"/>
    <cellStyle name="Группа 5 3 2 2" xfId="8672"/>
    <cellStyle name="Группа 5 3 2 3" xfId="8673"/>
    <cellStyle name="Группа 5 3 2 4" xfId="8674"/>
    <cellStyle name="Группа 5 3 3" xfId="8675"/>
    <cellStyle name="Группа 5 3 4" xfId="8676"/>
    <cellStyle name="Группа 5 3 5" xfId="8677"/>
    <cellStyle name="Группа 5 4" xfId="8678"/>
    <cellStyle name="Группа 5 4 2" xfId="8679"/>
    <cellStyle name="Группа 5 4 2 2" xfId="8680"/>
    <cellStyle name="Группа 5 4 2 3" xfId="8681"/>
    <cellStyle name="Группа 5 4 2 4" xfId="8682"/>
    <cellStyle name="Группа 5 4 3" xfId="8683"/>
    <cellStyle name="Группа 5 4 4" xfId="8684"/>
    <cellStyle name="Группа 5 4 5" xfId="8685"/>
    <cellStyle name="Группа 5 5" xfId="8686"/>
    <cellStyle name="Группа 5 5 2" xfId="8687"/>
    <cellStyle name="Группа 5 5 3" xfId="8688"/>
    <cellStyle name="Группа 5 5 4" xfId="8689"/>
    <cellStyle name="Группа 5 6" xfId="8690"/>
    <cellStyle name="Группа 5 7" xfId="8691"/>
    <cellStyle name="Группа 5 8" xfId="8692"/>
    <cellStyle name="Группа 6" xfId="8693"/>
    <cellStyle name="Группа 6 2" xfId="8694"/>
    <cellStyle name="Группа 6 2 2" xfId="8695"/>
    <cellStyle name="Группа 6 2 2 2" xfId="8696"/>
    <cellStyle name="Группа 6 2 2 3" xfId="8697"/>
    <cellStyle name="Группа 6 2 2 4" xfId="8698"/>
    <cellStyle name="Группа 6 2 3" xfId="8699"/>
    <cellStyle name="Группа 6 2 4" xfId="8700"/>
    <cellStyle name="Группа 6 2 5" xfId="8701"/>
    <cellStyle name="Группа 6 3" xfId="8702"/>
    <cellStyle name="Группа 6 3 2" xfId="8703"/>
    <cellStyle name="Группа 6 3 2 2" xfId="8704"/>
    <cellStyle name="Группа 6 3 2 3" xfId="8705"/>
    <cellStyle name="Группа 6 3 2 4" xfId="8706"/>
    <cellStyle name="Группа 6 3 3" xfId="8707"/>
    <cellStyle name="Группа 6 3 4" xfId="8708"/>
    <cellStyle name="Группа 6 3 5" xfId="8709"/>
    <cellStyle name="Группа 6 4" xfId="8710"/>
    <cellStyle name="Группа 6 4 2" xfId="8711"/>
    <cellStyle name="Группа 6 4 2 2" xfId="8712"/>
    <cellStyle name="Группа 6 4 2 3" xfId="8713"/>
    <cellStyle name="Группа 6 4 2 4" xfId="8714"/>
    <cellStyle name="Группа 6 4 3" xfId="8715"/>
    <cellStyle name="Группа 6 4 4" xfId="8716"/>
    <cellStyle name="Группа 6 4 5" xfId="8717"/>
    <cellStyle name="Группа 6 5" xfId="8718"/>
    <cellStyle name="Группа 6 5 2" xfId="8719"/>
    <cellStyle name="Группа 6 5 3" xfId="8720"/>
    <cellStyle name="Группа 6 5 4" xfId="8721"/>
    <cellStyle name="Группа 6 6" xfId="8722"/>
    <cellStyle name="Группа 6 7" xfId="8723"/>
    <cellStyle name="Группа 6 8" xfId="8724"/>
    <cellStyle name="Группа 7" xfId="8725"/>
    <cellStyle name="Группа 7 2" xfId="8726"/>
    <cellStyle name="Группа 7 2 2" xfId="8727"/>
    <cellStyle name="Группа 7 2 2 2" xfId="8728"/>
    <cellStyle name="Группа 7 2 2 3" xfId="8729"/>
    <cellStyle name="Группа 7 2 2 4" xfId="8730"/>
    <cellStyle name="Группа 7 2 3" xfId="8731"/>
    <cellStyle name="Группа 7 2 4" xfId="8732"/>
    <cellStyle name="Группа 7 2 5" xfId="8733"/>
    <cellStyle name="Группа 7 3" xfId="8734"/>
    <cellStyle name="Группа 7 3 2" xfId="8735"/>
    <cellStyle name="Группа 7 3 2 2" xfId="8736"/>
    <cellStyle name="Группа 7 3 2 3" xfId="8737"/>
    <cellStyle name="Группа 7 3 2 4" xfId="8738"/>
    <cellStyle name="Группа 7 3 3" xfId="8739"/>
    <cellStyle name="Группа 7 3 4" xfId="8740"/>
    <cellStyle name="Группа 7 3 5" xfId="8741"/>
    <cellStyle name="Группа 7 4" xfId="8742"/>
    <cellStyle name="Группа 7 4 2" xfId="8743"/>
    <cellStyle name="Группа 7 4 2 2" xfId="8744"/>
    <cellStyle name="Группа 7 4 2 3" xfId="8745"/>
    <cellStyle name="Группа 7 4 2 4" xfId="8746"/>
    <cellStyle name="Группа 7 4 3" xfId="8747"/>
    <cellStyle name="Группа 7 4 4" xfId="8748"/>
    <cellStyle name="Группа 7 4 5" xfId="8749"/>
    <cellStyle name="Группа 7 5" xfId="8750"/>
    <cellStyle name="Группа 7 5 2" xfId="8751"/>
    <cellStyle name="Группа 7 5 3" xfId="8752"/>
    <cellStyle name="Группа 7 5 4" xfId="8753"/>
    <cellStyle name="Группа 7 6" xfId="8754"/>
    <cellStyle name="Группа 7 7" xfId="8755"/>
    <cellStyle name="Группа 7 8" xfId="8756"/>
    <cellStyle name="Группа 8" xfId="8757"/>
    <cellStyle name="Группа 8 2" xfId="8758"/>
    <cellStyle name="Группа 8 2 2" xfId="8759"/>
    <cellStyle name="Группа 8 2 2 2" xfId="8760"/>
    <cellStyle name="Группа 8 2 2 3" xfId="8761"/>
    <cellStyle name="Группа 8 2 2 4" xfId="8762"/>
    <cellStyle name="Группа 8 2 3" xfId="8763"/>
    <cellStyle name="Группа 8 2 4" xfId="8764"/>
    <cellStyle name="Группа 8 2 5" xfId="8765"/>
    <cellStyle name="Группа 8 3" xfId="8766"/>
    <cellStyle name="Группа 8 3 2" xfId="8767"/>
    <cellStyle name="Группа 8 3 2 2" xfId="8768"/>
    <cellStyle name="Группа 8 3 2 3" xfId="8769"/>
    <cellStyle name="Группа 8 3 2 4" xfId="8770"/>
    <cellStyle name="Группа 8 3 3" xfId="8771"/>
    <cellStyle name="Группа 8 3 4" xfId="8772"/>
    <cellStyle name="Группа 8 3 5" xfId="8773"/>
    <cellStyle name="Группа 8 4" xfId="8774"/>
    <cellStyle name="Группа 8 4 2" xfId="8775"/>
    <cellStyle name="Группа 8 4 2 2" xfId="8776"/>
    <cellStyle name="Группа 8 4 2 3" xfId="8777"/>
    <cellStyle name="Группа 8 4 2 4" xfId="8778"/>
    <cellStyle name="Группа 8 4 3" xfId="8779"/>
    <cellStyle name="Группа 8 4 4" xfId="8780"/>
    <cellStyle name="Группа 8 4 5" xfId="8781"/>
    <cellStyle name="Группа 8 5" xfId="8782"/>
    <cellStyle name="Группа 8 5 2" xfId="8783"/>
    <cellStyle name="Группа 8 5 3" xfId="8784"/>
    <cellStyle name="Группа 8 5 4" xfId="8785"/>
    <cellStyle name="Группа 8 6" xfId="8786"/>
    <cellStyle name="Группа 8 7" xfId="8787"/>
    <cellStyle name="Группа 8 8" xfId="8788"/>
    <cellStyle name="Группа 9" xfId="8789"/>
    <cellStyle name="Группа 9 2" xfId="8790"/>
    <cellStyle name="Группа 9 2 2" xfId="8791"/>
    <cellStyle name="Группа 9 2 3" xfId="8792"/>
    <cellStyle name="Группа 9 2 4" xfId="8793"/>
    <cellStyle name="Группа 9 3" xfId="8794"/>
    <cellStyle name="Группа 9 4" xfId="8795"/>
    <cellStyle name="Группа 9 5" xfId="8796"/>
    <cellStyle name="Группа статей" xfId="8797"/>
    <cellStyle name="Группа_4DNS.UPDATE.EXAMPLE" xfId="8798"/>
    <cellStyle name="Данные" xfId="8799"/>
    <cellStyle name="ДАТА" xfId="8800"/>
    <cellStyle name="ДАТА 2" xfId="8801"/>
    <cellStyle name="ДАТА 3" xfId="8802"/>
    <cellStyle name="ДАТА 4" xfId="8803"/>
    <cellStyle name="ДАТА 5" xfId="8804"/>
    <cellStyle name="ДАТА 6" xfId="8805"/>
    <cellStyle name="ДАТА 7" xfId="8806"/>
    <cellStyle name="ДАТА 8" xfId="8807"/>
    <cellStyle name="ДАТА 9" xfId="8808"/>
    <cellStyle name="ДАТА_1" xfId="8809"/>
    <cellStyle name="Денежный (0)" xfId="8810"/>
    <cellStyle name="Денежный [0] 2" xfId="8811"/>
    <cellStyle name="Денежный 2" xfId="8812"/>
    <cellStyle name="Денежный 2 2" xfId="8813"/>
    <cellStyle name="Денежный 2 3" xfId="8814"/>
    <cellStyle name="Денежный 2 3 2" xfId="8815"/>
    <cellStyle name="Денежный 2 3 2 2" xfId="8816"/>
    <cellStyle name="Денежный 2 3 2 3" xfId="8817"/>
    <cellStyle name="Денежный 2 3 3" xfId="8818"/>
    <cellStyle name="Денежный 2 3 4" xfId="8819"/>
    <cellStyle name="Денежный 2 3 5" xfId="8820"/>
    <cellStyle name="Денежный 2_FORMA23-N.ENRG.2011 (v0.1)" xfId="8821"/>
    <cellStyle name="Денежный 3" xfId="8822"/>
    <cellStyle name="Денежный 4" xfId="8823"/>
    <cellStyle name="Денежный 5" xfId="8824"/>
    <cellStyle name="Денежный 6" xfId="8825"/>
    <cellStyle name="Денежный 7" xfId="8826"/>
    <cellStyle name="ДЮё¶ [0]_±вЕё" xfId="8827"/>
    <cellStyle name="ДЮё¶_±вЕё" xfId="8828"/>
    <cellStyle name="ЕлИ­ [0]_±вЕё" xfId="8829"/>
    <cellStyle name="ЕлИ­_±вЕё" xfId="8830"/>
    <cellStyle name="Заг" xfId="8831"/>
    <cellStyle name="Заг 2" xfId="8832"/>
    <cellStyle name="Заг 3" xfId="8833"/>
    <cellStyle name="Заголовок" xfId="8834"/>
    <cellStyle name="Заголовок 1 10" xfId="8835"/>
    <cellStyle name="Заголовок 1 2" xfId="8836"/>
    <cellStyle name="Заголовок 1 2 2" xfId="8837"/>
    <cellStyle name="Заголовок 1 2_46EE.2011(v1.0)" xfId="8838"/>
    <cellStyle name="Заголовок 1 3" xfId="8839"/>
    <cellStyle name="Заголовок 1 3 2" xfId="8840"/>
    <cellStyle name="Заголовок 1 3_46EE.2011(v1.0)" xfId="8841"/>
    <cellStyle name="Заголовок 1 4" xfId="8842"/>
    <cellStyle name="Заголовок 1 4 2" xfId="8843"/>
    <cellStyle name="Заголовок 1 4_46EE.2011(v1.0)" xfId="8844"/>
    <cellStyle name="Заголовок 1 5" xfId="8845"/>
    <cellStyle name="Заголовок 1 5 2" xfId="8846"/>
    <cellStyle name="Заголовок 1 5_46EE.2011(v1.0)" xfId="8847"/>
    <cellStyle name="Заголовок 1 6" xfId="8848"/>
    <cellStyle name="Заголовок 1 6 2" xfId="8849"/>
    <cellStyle name="Заголовок 1 6_46EE.2011(v1.0)" xfId="8850"/>
    <cellStyle name="Заголовок 1 7" xfId="8851"/>
    <cellStyle name="Заголовок 1 7 2" xfId="8852"/>
    <cellStyle name="Заголовок 1 7_46EE.2011(v1.0)" xfId="8853"/>
    <cellStyle name="Заголовок 1 8" xfId="8854"/>
    <cellStyle name="Заголовок 1 8 2" xfId="8855"/>
    <cellStyle name="Заголовок 1 8_46EE.2011(v1.0)" xfId="8856"/>
    <cellStyle name="Заголовок 1 9" xfId="8857"/>
    <cellStyle name="Заголовок 1 9 2" xfId="8858"/>
    <cellStyle name="Заголовок 1 9_46EE.2011(v1.0)" xfId="8859"/>
    <cellStyle name="Заголовок 10" xfId="8860"/>
    <cellStyle name="Заголовок 11" xfId="8861"/>
    <cellStyle name="Заголовок 12" xfId="8862"/>
    <cellStyle name="Заголовок 13" xfId="8863"/>
    <cellStyle name="Заголовок 14" xfId="8864"/>
    <cellStyle name="Заголовок 15" xfId="8865"/>
    <cellStyle name="Заголовок 16" xfId="8866"/>
    <cellStyle name="Заголовок 17" xfId="8867"/>
    <cellStyle name="Заголовок 18" xfId="8868"/>
    <cellStyle name="Заголовок 19" xfId="8869"/>
    <cellStyle name="Заголовок 2 10" xfId="8870"/>
    <cellStyle name="Заголовок 2 2" xfId="8871"/>
    <cellStyle name="Заголовок 2 2 2" xfId="8872"/>
    <cellStyle name="Заголовок 2 2_46EE.2011(v1.0)" xfId="8873"/>
    <cellStyle name="Заголовок 2 3" xfId="8874"/>
    <cellStyle name="Заголовок 2 3 2" xfId="8875"/>
    <cellStyle name="Заголовок 2 3_46EE.2011(v1.0)" xfId="8876"/>
    <cellStyle name="Заголовок 2 4" xfId="8877"/>
    <cellStyle name="Заголовок 2 4 2" xfId="8878"/>
    <cellStyle name="Заголовок 2 4_46EE.2011(v1.0)" xfId="8879"/>
    <cellStyle name="Заголовок 2 5" xfId="8880"/>
    <cellStyle name="Заголовок 2 5 2" xfId="8881"/>
    <cellStyle name="Заголовок 2 5_46EE.2011(v1.0)" xfId="8882"/>
    <cellStyle name="Заголовок 2 6" xfId="8883"/>
    <cellStyle name="Заголовок 2 6 2" xfId="8884"/>
    <cellStyle name="Заголовок 2 6_46EE.2011(v1.0)" xfId="8885"/>
    <cellStyle name="Заголовок 2 7" xfId="8886"/>
    <cellStyle name="Заголовок 2 7 2" xfId="8887"/>
    <cellStyle name="Заголовок 2 7_46EE.2011(v1.0)" xfId="8888"/>
    <cellStyle name="Заголовок 2 8" xfId="8889"/>
    <cellStyle name="Заголовок 2 8 2" xfId="8890"/>
    <cellStyle name="Заголовок 2 8_46EE.2011(v1.0)" xfId="8891"/>
    <cellStyle name="Заголовок 2 9" xfId="8892"/>
    <cellStyle name="Заголовок 2 9 2" xfId="8893"/>
    <cellStyle name="Заголовок 2 9_46EE.2011(v1.0)" xfId="8894"/>
    <cellStyle name="Заголовок 20" xfId="8895"/>
    <cellStyle name="Заголовок 21" xfId="8896"/>
    <cellStyle name="Заголовок 22" xfId="8897"/>
    <cellStyle name="Заголовок 23" xfId="8898"/>
    <cellStyle name="Заголовок 24" xfId="8899"/>
    <cellStyle name="Заголовок 25" xfId="8900"/>
    <cellStyle name="Заголовок 26" xfId="8901"/>
    <cellStyle name="Заголовок 27" xfId="8902"/>
    <cellStyle name="Заголовок 28" xfId="8903"/>
    <cellStyle name="Заголовок 29" xfId="8904"/>
    <cellStyle name="Заголовок 3 10" xfId="8905"/>
    <cellStyle name="Заголовок 3 10 2" xfId="8906"/>
    <cellStyle name="Заголовок 3 10 3" xfId="8907"/>
    <cellStyle name="Заголовок 3 10 4" xfId="8908"/>
    <cellStyle name="Заголовок 3 2" xfId="8909"/>
    <cellStyle name="Заголовок 3 2 2" xfId="8910"/>
    <cellStyle name="Заголовок 3 2 2 2" xfId="8911"/>
    <cellStyle name="Заголовок 3 2 2 3" xfId="8912"/>
    <cellStyle name="Заголовок 3 2 2 4" xfId="8913"/>
    <cellStyle name="Заголовок 3 2 3" xfId="8914"/>
    <cellStyle name="Заголовок 3 2 4" xfId="8915"/>
    <cellStyle name="Заголовок 3 2 5" xfId="8916"/>
    <cellStyle name="Заголовок 3 2_46EE.2011(v1.0)" xfId="8917"/>
    <cellStyle name="Заголовок 3 3" xfId="8918"/>
    <cellStyle name="Заголовок 3 3 2" xfId="8919"/>
    <cellStyle name="Заголовок 3 3 2 2" xfId="8920"/>
    <cellStyle name="Заголовок 3 3 2 3" xfId="8921"/>
    <cellStyle name="Заголовок 3 3 2 4" xfId="8922"/>
    <cellStyle name="Заголовок 3 3 3" xfId="8923"/>
    <cellStyle name="Заголовок 3 3 4" xfId="8924"/>
    <cellStyle name="Заголовок 3 3 5" xfId="8925"/>
    <cellStyle name="Заголовок 3 3_46EE.2011(v1.0)" xfId="8926"/>
    <cellStyle name="Заголовок 3 4" xfId="8927"/>
    <cellStyle name="Заголовок 3 4 2" xfId="8928"/>
    <cellStyle name="Заголовок 3 4 2 2" xfId="8929"/>
    <cellStyle name="Заголовок 3 4 2 3" xfId="8930"/>
    <cellStyle name="Заголовок 3 4 2 4" xfId="8931"/>
    <cellStyle name="Заголовок 3 4 3" xfId="8932"/>
    <cellStyle name="Заголовок 3 4 4" xfId="8933"/>
    <cellStyle name="Заголовок 3 4 5" xfId="8934"/>
    <cellStyle name="Заголовок 3 4_46EE.2011(v1.0)" xfId="8935"/>
    <cellStyle name="Заголовок 3 5" xfId="8936"/>
    <cellStyle name="Заголовок 3 5 2" xfId="8937"/>
    <cellStyle name="Заголовок 3 5 2 2" xfId="8938"/>
    <cellStyle name="Заголовок 3 5 2 3" xfId="8939"/>
    <cellStyle name="Заголовок 3 5 2 4" xfId="8940"/>
    <cellStyle name="Заголовок 3 5 3" xfId="8941"/>
    <cellStyle name="Заголовок 3 5 4" xfId="8942"/>
    <cellStyle name="Заголовок 3 5 5" xfId="8943"/>
    <cellStyle name="Заголовок 3 5_46EE.2011(v1.0)" xfId="8944"/>
    <cellStyle name="Заголовок 3 6" xfId="8945"/>
    <cellStyle name="Заголовок 3 6 2" xfId="8946"/>
    <cellStyle name="Заголовок 3 6 2 2" xfId="8947"/>
    <cellStyle name="Заголовок 3 6 2 3" xfId="8948"/>
    <cellStyle name="Заголовок 3 6 2 4" xfId="8949"/>
    <cellStyle name="Заголовок 3 6 3" xfId="8950"/>
    <cellStyle name="Заголовок 3 6 4" xfId="8951"/>
    <cellStyle name="Заголовок 3 6 5" xfId="8952"/>
    <cellStyle name="Заголовок 3 6_46EE.2011(v1.0)" xfId="8953"/>
    <cellStyle name="Заголовок 3 7" xfId="8954"/>
    <cellStyle name="Заголовок 3 7 2" xfId="8955"/>
    <cellStyle name="Заголовок 3 7 2 2" xfId="8956"/>
    <cellStyle name="Заголовок 3 7 2 3" xfId="8957"/>
    <cellStyle name="Заголовок 3 7 2 4" xfId="8958"/>
    <cellStyle name="Заголовок 3 7 3" xfId="8959"/>
    <cellStyle name="Заголовок 3 7 4" xfId="8960"/>
    <cellStyle name="Заголовок 3 7 5" xfId="8961"/>
    <cellStyle name="Заголовок 3 7_46EE.2011(v1.0)" xfId="8962"/>
    <cellStyle name="Заголовок 3 8" xfId="8963"/>
    <cellStyle name="Заголовок 3 8 2" xfId="8964"/>
    <cellStyle name="Заголовок 3 8 2 2" xfId="8965"/>
    <cellStyle name="Заголовок 3 8 2 3" xfId="8966"/>
    <cellStyle name="Заголовок 3 8 2 4" xfId="8967"/>
    <cellStyle name="Заголовок 3 8 3" xfId="8968"/>
    <cellStyle name="Заголовок 3 8 4" xfId="8969"/>
    <cellStyle name="Заголовок 3 8 5" xfId="8970"/>
    <cellStyle name="Заголовок 3 8_46EE.2011(v1.0)" xfId="8971"/>
    <cellStyle name="Заголовок 3 9" xfId="8972"/>
    <cellStyle name="Заголовок 3 9 2" xfId="8973"/>
    <cellStyle name="Заголовок 3 9 2 2" xfId="8974"/>
    <cellStyle name="Заголовок 3 9 2 3" xfId="8975"/>
    <cellStyle name="Заголовок 3 9 2 4" xfId="8976"/>
    <cellStyle name="Заголовок 3 9 3" xfId="8977"/>
    <cellStyle name="Заголовок 3 9 4" xfId="8978"/>
    <cellStyle name="Заголовок 3 9 5" xfId="8979"/>
    <cellStyle name="Заголовок 3 9_46EE.2011(v1.0)" xfId="8980"/>
    <cellStyle name="Заголовок 30" xfId="8981"/>
    <cellStyle name="Заголовок 31" xfId="8982"/>
    <cellStyle name="Заголовок 32" xfId="8983"/>
    <cellStyle name="Заголовок 33" xfId="8984"/>
    <cellStyle name="Заголовок 34" xfId="8985"/>
    <cellStyle name="Заголовок 35" xfId="8986"/>
    <cellStyle name="Заголовок 36" xfId="8987"/>
    <cellStyle name="Заголовок 37" xfId="8988"/>
    <cellStyle name="Заголовок 38" xfId="8989"/>
    <cellStyle name="Заголовок 39" xfId="8990"/>
    <cellStyle name="Заголовок 4 10" xfId="8991"/>
    <cellStyle name="Заголовок 4 2" xfId="8992"/>
    <cellStyle name="Заголовок 4 2 2" xfId="8993"/>
    <cellStyle name="Заголовок 4 3" xfId="8994"/>
    <cellStyle name="Заголовок 4 3 2" xfId="8995"/>
    <cellStyle name="Заголовок 4 4" xfId="8996"/>
    <cellStyle name="Заголовок 4 4 2" xfId="8997"/>
    <cellStyle name="Заголовок 4 5" xfId="8998"/>
    <cellStyle name="Заголовок 4 5 2" xfId="8999"/>
    <cellStyle name="Заголовок 4 6" xfId="9000"/>
    <cellStyle name="Заголовок 4 6 2" xfId="9001"/>
    <cellStyle name="Заголовок 4 7" xfId="9002"/>
    <cellStyle name="Заголовок 4 7 2" xfId="9003"/>
    <cellStyle name="Заголовок 4 8" xfId="9004"/>
    <cellStyle name="Заголовок 4 8 2" xfId="9005"/>
    <cellStyle name="Заголовок 4 9" xfId="9006"/>
    <cellStyle name="Заголовок 4 9 2" xfId="9007"/>
    <cellStyle name="Заголовок 40" xfId="9008"/>
    <cellStyle name="Заголовок 41" xfId="9009"/>
    <cellStyle name="Заголовок 42" xfId="9010"/>
    <cellStyle name="Заголовок 43" xfId="9011"/>
    <cellStyle name="Заголовок 44" xfId="9012"/>
    <cellStyle name="Заголовок 45" xfId="9013"/>
    <cellStyle name="Заголовок 46" xfId="9014"/>
    <cellStyle name="Заголовок 47" xfId="9015"/>
    <cellStyle name="заголовок 48" xfId="9016"/>
    <cellStyle name="Заголовок 5" xfId="9017"/>
    <cellStyle name="Заголовок 6" xfId="9018"/>
    <cellStyle name="Заголовок 7" xfId="9019"/>
    <cellStyle name="Заголовок 8" xfId="9020"/>
    <cellStyle name="Заголовок 9" xfId="9021"/>
    <cellStyle name="Заголовок таблицы" xfId="9022"/>
    <cellStyle name="Заголовок формы" xfId="9023"/>
    <cellStyle name="ЗАГОЛОВОК1" xfId="9024"/>
    <cellStyle name="ЗАГОЛОВОК2" xfId="9025"/>
    <cellStyle name="ЗаголовокСтолбца" xfId="9026"/>
    <cellStyle name="ЗаголовокСтолбца 2" xfId="9027"/>
    <cellStyle name="ЗаголовокСтолбца 3" xfId="9028"/>
    <cellStyle name="ЗаголовокСтолбца 4" xfId="9029"/>
    <cellStyle name="ЗаголовокСтолбца 5" xfId="9030"/>
    <cellStyle name="ЗаголовокСтолбца 6" xfId="9031"/>
    <cellStyle name="Защитный" xfId="9032"/>
    <cellStyle name="Защитный 2" xfId="9033"/>
    <cellStyle name="Защитный 3" xfId="9034"/>
    <cellStyle name="Защитный 4" xfId="9035"/>
    <cellStyle name="ЗҐБШ_±ё№МВчАМ" xfId="9036"/>
    <cellStyle name="Значение" xfId="9037"/>
    <cellStyle name="Значение 10" xfId="9038"/>
    <cellStyle name="Значение 11" xfId="9039"/>
    <cellStyle name="Значение 12" xfId="9040"/>
    <cellStyle name="Значение 13" xfId="9041"/>
    <cellStyle name="Значение 14" xfId="9042"/>
    <cellStyle name="Значение 15" xfId="9043"/>
    <cellStyle name="Значение 16" xfId="9044"/>
    <cellStyle name="Значение 17" xfId="9045"/>
    <cellStyle name="Значение 18" xfId="9046"/>
    <cellStyle name="Значение 19" xfId="9047"/>
    <cellStyle name="Значение 2" xfId="9048"/>
    <cellStyle name="Значение 2 2" xfId="9049"/>
    <cellStyle name="Значение 2 2 2" xfId="9050"/>
    <cellStyle name="Значение 2 2 3" xfId="9051"/>
    <cellStyle name="Значение 2 2 4" xfId="9052"/>
    <cellStyle name="Значение 2 3" xfId="9053"/>
    <cellStyle name="Значение 2 4" xfId="9054"/>
    <cellStyle name="Значение 2 5" xfId="9055"/>
    <cellStyle name="Значение 20" xfId="9056"/>
    <cellStyle name="Значение 21" xfId="9057"/>
    <cellStyle name="Значение 22" xfId="9058"/>
    <cellStyle name="Значение 23" xfId="9059"/>
    <cellStyle name="Значение 24" xfId="9060"/>
    <cellStyle name="Значение 25" xfId="9061"/>
    <cellStyle name="Значение 26" xfId="9062"/>
    <cellStyle name="Значение 27" xfId="9063"/>
    <cellStyle name="Значение 28" xfId="9064"/>
    <cellStyle name="Значение 29" xfId="9065"/>
    <cellStyle name="Значение 3" xfId="9066"/>
    <cellStyle name="Значение 3 2" xfId="9067"/>
    <cellStyle name="Значение 3 2 2" xfId="9068"/>
    <cellStyle name="Значение 3 2 3" xfId="9069"/>
    <cellStyle name="Значение 3 2 4" xfId="9070"/>
    <cellStyle name="Значение 3 3" xfId="9071"/>
    <cellStyle name="Значение 3 4" xfId="9072"/>
    <cellStyle name="Значение 3 5" xfId="9073"/>
    <cellStyle name="Значение 30" xfId="9074"/>
    <cellStyle name="Значение 31" xfId="9075"/>
    <cellStyle name="Значение 32" xfId="9076"/>
    <cellStyle name="Значение 33" xfId="9077"/>
    <cellStyle name="Значение 34" xfId="9078"/>
    <cellStyle name="Значение 35" xfId="9079"/>
    <cellStyle name="Значение 36" xfId="9080"/>
    <cellStyle name="Значение 37" xfId="9081"/>
    <cellStyle name="Значение 38" xfId="9082"/>
    <cellStyle name="Значение 39" xfId="9083"/>
    <cellStyle name="Значение 4" xfId="9084"/>
    <cellStyle name="Значение 4 2" xfId="9085"/>
    <cellStyle name="Значение 4 2 2" xfId="9086"/>
    <cellStyle name="Значение 4 2 3" xfId="9087"/>
    <cellStyle name="Значение 4 2 4" xfId="9088"/>
    <cellStyle name="Значение 4 3" xfId="9089"/>
    <cellStyle name="Значение 4 4" xfId="9090"/>
    <cellStyle name="Значение 4 5" xfId="9091"/>
    <cellStyle name="Значение 40" xfId="9092"/>
    <cellStyle name="Значение 41" xfId="9093"/>
    <cellStyle name="Значение 42" xfId="9094"/>
    <cellStyle name="Значение 5" xfId="9095"/>
    <cellStyle name="Значение 5 2" xfId="9096"/>
    <cellStyle name="Значение 5 3" xfId="9097"/>
    <cellStyle name="Значение 5 4" xfId="9098"/>
    <cellStyle name="Значение 6" xfId="9099"/>
    <cellStyle name="Значение 7" xfId="9100"/>
    <cellStyle name="Значение 8" xfId="9101"/>
    <cellStyle name="Значение 9" xfId="9102"/>
    <cellStyle name="Зоголовок" xfId="9103"/>
    <cellStyle name="ЅинЎнсоЏый_effect._inv." xfId="9104"/>
    <cellStyle name="Имя колонки" xfId="9105"/>
    <cellStyle name="Итог 10" xfId="9106"/>
    <cellStyle name="Итог 10 10" xfId="9107"/>
    <cellStyle name="Итог 10 2" xfId="9108"/>
    <cellStyle name="Итог 10 2 2" xfId="9109"/>
    <cellStyle name="Итог 10 2 2 2" xfId="9110"/>
    <cellStyle name="Итог 10 2 2 3" xfId="9111"/>
    <cellStyle name="Итог 10 2 2 4" xfId="9112"/>
    <cellStyle name="Итог 10 2 3" xfId="9113"/>
    <cellStyle name="Итог 10 2 3 2" xfId="9114"/>
    <cellStyle name="Итог 10 2 3 3" xfId="9115"/>
    <cellStyle name="Итог 10 2 3 4" xfId="9116"/>
    <cellStyle name="Итог 10 2 4" xfId="9117"/>
    <cellStyle name="Итог 10 2 5" xfId="9118"/>
    <cellStyle name="Итог 10 2 6" xfId="9119"/>
    <cellStyle name="Итог 10 3" xfId="9120"/>
    <cellStyle name="Итог 10 3 2" xfId="9121"/>
    <cellStyle name="Итог 10 3 2 2" xfId="9122"/>
    <cellStyle name="Итог 10 3 2 3" xfId="9123"/>
    <cellStyle name="Итог 10 3 2 4" xfId="9124"/>
    <cellStyle name="Итог 10 3 3" xfId="9125"/>
    <cellStyle name="Итог 10 3 3 2" xfId="9126"/>
    <cellStyle name="Итог 10 3 3 3" xfId="9127"/>
    <cellStyle name="Итог 10 3 3 4" xfId="9128"/>
    <cellStyle name="Итог 10 3 4" xfId="9129"/>
    <cellStyle name="Итог 10 3 5" xfId="9130"/>
    <cellStyle name="Итог 10 3 6" xfId="9131"/>
    <cellStyle name="Итог 10 4" xfId="9132"/>
    <cellStyle name="Итог 10 4 2" xfId="9133"/>
    <cellStyle name="Итог 10 4 2 2" xfId="9134"/>
    <cellStyle name="Итог 10 4 2 3" xfId="9135"/>
    <cellStyle name="Итог 10 4 2 4" xfId="9136"/>
    <cellStyle name="Итог 10 4 3" xfId="9137"/>
    <cellStyle name="Итог 10 4 3 2" xfId="9138"/>
    <cellStyle name="Итог 10 4 3 3" xfId="9139"/>
    <cellStyle name="Итог 10 4 3 4" xfId="9140"/>
    <cellStyle name="Итог 10 4 4" xfId="9141"/>
    <cellStyle name="Итог 10 4 5" xfId="9142"/>
    <cellStyle name="Итог 10 4 6" xfId="9143"/>
    <cellStyle name="Итог 10 5" xfId="9144"/>
    <cellStyle name="Итог 10 5 2" xfId="9145"/>
    <cellStyle name="Итог 10 5 2 2" xfId="9146"/>
    <cellStyle name="Итог 10 5 2 3" xfId="9147"/>
    <cellStyle name="Итог 10 5 2 4" xfId="9148"/>
    <cellStyle name="Итог 10 5 3" xfId="9149"/>
    <cellStyle name="Итог 10 5 3 2" xfId="9150"/>
    <cellStyle name="Итог 10 5 3 3" xfId="9151"/>
    <cellStyle name="Итог 10 5 3 4" xfId="9152"/>
    <cellStyle name="Итог 10 5 4" xfId="9153"/>
    <cellStyle name="Итог 10 5 5" xfId="9154"/>
    <cellStyle name="Итог 10 5 6" xfId="9155"/>
    <cellStyle name="Итог 10 6" xfId="9156"/>
    <cellStyle name="Итог 10 6 2" xfId="9157"/>
    <cellStyle name="Итог 10 6 3" xfId="9158"/>
    <cellStyle name="Итог 10 6 4" xfId="9159"/>
    <cellStyle name="Итог 10 7" xfId="9160"/>
    <cellStyle name="Итог 10 7 2" xfId="9161"/>
    <cellStyle name="Итог 10 7 3" xfId="9162"/>
    <cellStyle name="Итог 10 7 4" xfId="9163"/>
    <cellStyle name="Итог 10 8" xfId="9164"/>
    <cellStyle name="Итог 10 9" xfId="9165"/>
    <cellStyle name="Итог 2" xfId="9166"/>
    <cellStyle name="Итог 2 10" xfId="9167"/>
    <cellStyle name="Итог 2 11" xfId="9168"/>
    <cellStyle name="Итог 2 12" xfId="9169"/>
    <cellStyle name="Итог 2 13" xfId="9170"/>
    <cellStyle name="Итог 2 14" xfId="9171"/>
    <cellStyle name="Итог 2 15" xfId="9172"/>
    <cellStyle name="Итог 2 16" xfId="9173"/>
    <cellStyle name="Итог 2 17" xfId="9174"/>
    <cellStyle name="Итог 2 18" xfId="9175"/>
    <cellStyle name="Итог 2 19" xfId="9176"/>
    <cellStyle name="Итог 2 2" xfId="9177"/>
    <cellStyle name="Итог 2 2 10" xfId="9178"/>
    <cellStyle name="Итог 2 2 2" xfId="9179"/>
    <cellStyle name="Итог 2 2 2 2" xfId="9180"/>
    <cellStyle name="Итог 2 2 2 2 2" xfId="9181"/>
    <cellStyle name="Итог 2 2 2 2 3" xfId="9182"/>
    <cellStyle name="Итог 2 2 2 2 4" xfId="9183"/>
    <cellStyle name="Итог 2 2 2 3" xfId="9184"/>
    <cellStyle name="Итог 2 2 2 3 2" xfId="9185"/>
    <cellStyle name="Итог 2 2 2 3 3" xfId="9186"/>
    <cellStyle name="Итог 2 2 2 3 4" xfId="9187"/>
    <cellStyle name="Итог 2 2 2 4" xfId="9188"/>
    <cellStyle name="Итог 2 2 2 5" xfId="9189"/>
    <cellStyle name="Итог 2 2 2 6" xfId="9190"/>
    <cellStyle name="Итог 2 2 3" xfId="9191"/>
    <cellStyle name="Итог 2 2 3 2" xfId="9192"/>
    <cellStyle name="Итог 2 2 3 2 2" xfId="9193"/>
    <cellStyle name="Итог 2 2 3 2 3" xfId="9194"/>
    <cellStyle name="Итог 2 2 3 2 4" xfId="9195"/>
    <cellStyle name="Итог 2 2 3 3" xfId="9196"/>
    <cellStyle name="Итог 2 2 3 3 2" xfId="9197"/>
    <cellStyle name="Итог 2 2 3 3 3" xfId="9198"/>
    <cellStyle name="Итог 2 2 3 3 4" xfId="9199"/>
    <cellStyle name="Итог 2 2 3 4" xfId="9200"/>
    <cellStyle name="Итог 2 2 3 5" xfId="9201"/>
    <cellStyle name="Итог 2 2 3 6" xfId="9202"/>
    <cellStyle name="Итог 2 2 4" xfId="9203"/>
    <cellStyle name="Итог 2 2 4 2" xfId="9204"/>
    <cellStyle name="Итог 2 2 4 2 2" xfId="9205"/>
    <cellStyle name="Итог 2 2 4 2 3" xfId="9206"/>
    <cellStyle name="Итог 2 2 4 2 4" xfId="9207"/>
    <cellStyle name="Итог 2 2 4 3" xfId="9208"/>
    <cellStyle name="Итог 2 2 4 3 2" xfId="9209"/>
    <cellStyle name="Итог 2 2 4 3 3" xfId="9210"/>
    <cellStyle name="Итог 2 2 4 3 4" xfId="9211"/>
    <cellStyle name="Итог 2 2 4 4" xfId="9212"/>
    <cellStyle name="Итог 2 2 4 5" xfId="9213"/>
    <cellStyle name="Итог 2 2 4 6" xfId="9214"/>
    <cellStyle name="Итог 2 2 5" xfId="9215"/>
    <cellStyle name="Итог 2 2 5 2" xfId="9216"/>
    <cellStyle name="Итог 2 2 5 2 2" xfId="9217"/>
    <cellStyle name="Итог 2 2 5 2 3" xfId="9218"/>
    <cellStyle name="Итог 2 2 5 2 4" xfId="9219"/>
    <cellStyle name="Итог 2 2 5 3" xfId="9220"/>
    <cellStyle name="Итог 2 2 5 3 2" xfId="9221"/>
    <cellStyle name="Итог 2 2 5 3 3" xfId="9222"/>
    <cellStyle name="Итог 2 2 5 3 4" xfId="9223"/>
    <cellStyle name="Итог 2 2 5 4" xfId="9224"/>
    <cellStyle name="Итог 2 2 5 5" xfId="9225"/>
    <cellStyle name="Итог 2 2 5 6" xfId="9226"/>
    <cellStyle name="Итог 2 2 6" xfId="9227"/>
    <cellStyle name="Итог 2 2 6 2" xfId="9228"/>
    <cellStyle name="Итог 2 2 6 3" xfId="9229"/>
    <cellStyle name="Итог 2 2 6 4" xfId="9230"/>
    <cellStyle name="Итог 2 2 7" xfId="9231"/>
    <cellStyle name="Итог 2 2 7 2" xfId="9232"/>
    <cellStyle name="Итог 2 2 7 3" xfId="9233"/>
    <cellStyle name="Итог 2 2 7 4" xfId="9234"/>
    <cellStyle name="Итог 2 2 8" xfId="9235"/>
    <cellStyle name="Итог 2 2 9" xfId="9236"/>
    <cellStyle name="Итог 2 20" xfId="9237"/>
    <cellStyle name="Итог 2 21" xfId="9238"/>
    <cellStyle name="Итог 2 22" xfId="9239"/>
    <cellStyle name="Итог 2 23" xfId="9240"/>
    <cellStyle name="Итог 2 24" xfId="9241"/>
    <cellStyle name="Итог 2 25" xfId="9242"/>
    <cellStyle name="Итог 2 26" xfId="9243"/>
    <cellStyle name="Итог 2 27" xfId="9244"/>
    <cellStyle name="Итог 2 28" xfId="9245"/>
    <cellStyle name="Итог 2 29" xfId="9246"/>
    <cellStyle name="Итог 2 3" xfId="9247"/>
    <cellStyle name="Итог 2 3 2" xfId="9248"/>
    <cellStyle name="Итог 2 3 2 2" xfId="9249"/>
    <cellStyle name="Итог 2 3 2 3" xfId="9250"/>
    <cellStyle name="Итог 2 3 2 4" xfId="9251"/>
    <cellStyle name="Итог 2 3 3" xfId="9252"/>
    <cellStyle name="Итог 2 3 3 2" xfId="9253"/>
    <cellStyle name="Итог 2 3 3 3" xfId="9254"/>
    <cellStyle name="Итог 2 3 3 4" xfId="9255"/>
    <cellStyle name="Итог 2 3 4" xfId="9256"/>
    <cellStyle name="Итог 2 3 5" xfId="9257"/>
    <cellStyle name="Итог 2 3 6" xfId="9258"/>
    <cellStyle name="Итог 2 30" xfId="9259"/>
    <cellStyle name="Итог 2 31" xfId="9260"/>
    <cellStyle name="Итог 2 32" xfId="9261"/>
    <cellStyle name="Итог 2 33" xfId="9262"/>
    <cellStyle name="Итог 2 34" xfId="9263"/>
    <cellStyle name="Итог 2 35" xfId="9264"/>
    <cellStyle name="Итог 2 36" xfId="9265"/>
    <cellStyle name="Итог 2 37" xfId="9266"/>
    <cellStyle name="Итог 2 38" xfId="9267"/>
    <cellStyle name="Итог 2 39" xfId="9268"/>
    <cellStyle name="Итог 2 4" xfId="9269"/>
    <cellStyle name="Итог 2 4 2" xfId="9270"/>
    <cellStyle name="Итог 2 4 2 2" xfId="9271"/>
    <cellStyle name="Итог 2 4 2 3" xfId="9272"/>
    <cellStyle name="Итог 2 4 2 4" xfId="9273"/>
    <cellStyle name="Итог 2 4 3" xfId="9274"/>
    <cellStyle name="Итог 2 4 3 2" xfId="9275"/>
    <cellStyle name="Итог 2 4 3 3" xfId="9276"/>
    <cellStyle name="Итог 2 4 3 4" xfId="9277"/>
    <cellStyle name="Итог 2 4 4" xfId="9278"/>
    <cellStyle name="Итог 2 4 5" xfId="9279"/>
    <cellStyle name="Итог 2 4 6" xfId="9280"/>
    <cellStyle name="Итог 2 40" xfId="9281"/>
    <cellStyle name="Итог 2 41" xfId="9282"/>
    <cellStyle name="Итог 2 42" xfId="9283"/>
    <cellStyle name="Итог 2 43" xfId="9284"/>
    <cellStyle name="Итог 2 44" xfId="9285"/>
    <cellStyle name="Итог 2 5" xfId="9286"/>
    <cellStyle name="Итог 2 5 2" xfId="9287"/>
    <cellStyle name="Итог 2 5 2 2" xfId="9288"/>
    <cellStyle name="Итог 2 5 2 3" xfId="9289"/>
    <cellStyle name="Итог 2 5 2 4" xfId="9290"/>
    <cellStyle name="Итог 2 5 3" xfId="9291"/>
    <cellStyle name="Итог 2 5 3 2" xfId="9292"/>
    <cellStyle name="Итог 2 5 3 3" xfId="9293"/>
    <cellStyle name="Итог 2 5 3 4" xfId="9294"/>
    <cellStyle name="Итог 2 5 4" xfId="9295"/>
    <cellStyle name="Итог 2 5 5" xfId="9296"/>
    <cellStyle name="Итог 2 5 6" xfId="9297"/>
    <cellStyle name="Итог 2 6" xfId="9298"/>
    <cellStyle name="Итог 2 6 2" xfId="9299"/>
    <cellStyle name="Итог 2 6 2 2" xfId="9300"/>
    <cellStyle name="Итог 2 6 2 3" xfId="9301"/>
    <cellStyle name="Итог 2 6 2 4" xfId="9302"/>
    <cellStyle name="Итог 2 6 3" xfId="9303"/>
    <cellStyle name="Итог 2 6 3 2" xfId="9304"/>
    <cellStyle name="Итог 2 6 3 3" xfId="9305"/>
    <cellStyle name="Итог 2 6 3 4" xfId="9306"/>
    <cellStyle name="Итог 2 6 4" xfId="9307"/>
    <cellStyle name="Итог 2 6 5" xfId="9308"/>
    <cellStyle name="Итог 2 6 6" xfId="9309"/>
    <cellStyle name="Итог 2 7" xfId="9310"/>
    <cellStyle name="Итог 2 7 2" xfId="9311"/>
    <cellStyle name="Итог 2 7 3" xfId="9312"/>
    <cellStyle name="Итог 2 7 4" xfId="9313"/>
    <cellStyle name="Итог 2 8" xfId="9314"/>
    <cellStyle name="Итог 2 8 2" xfId="9315"/>
    <cellStyle name="Итог 2 8 3" xfId="9316"/>
    <cellStyle name="Итог 2 8 4" xfId="9317"/>
    <cellStyle name="Итог 2 9" xfId="9318"/>
    <cellStyle name="Итог 2_46EE.2011(v1.0)" xfId="9319"/>
    <cellStyle name="Итог 3" xfId="9320"/>
    <cellStyle name="Итог 3 10" xfId="9321"/>
    <cellStyle name="Итог 3 11" xfId="9322"/>
    <cellStyle name="Итог 3 12" xfId="9323"/>
    <cellStyle name="Итог 3 13" xfId="9324"/>
    <cellStyle name="Итог 3 14" xfId="9325"/>
    <cellStyle name="Итог 3 15" xfId="9326"/>
    <cellStyle name="Итог 3 16" xfId="9327"/>
    <cellStyle name="Итог 3 17" xfId="9328"/>
    <cellStyle name="Итог 3 18" xfId="9329"/>
    <cellStyle name="Итог 3 19" xfId="9330"/>
    <cellStyle name="Итог 3 2" xfId="9331"/>
    <cellStyle name="Итог 3 2 10" xfId="9332"/>
    <cellStyle name="Итог 3 2 2" xfId="9333"/>
    <cellStyle name="Итог 3 2 2 2" xfId="9334"/>
    <cellStyle name="Итог 3 2 2 2 2" xfId="9335"/>
    <cellStyle name="Итог 3 2 2 2 3" xfId="9336"/>
    <cellStyle name="Итог 3 2 2 2 4" xfId="9337"/>
    <cellStyle name="Итог 3 2 2 3" xfId="9338"/>
    <cellStyle name="Итог 3 2 2 3 2" xfId="9339"/>
    <cellStyle name="Итог 3 2 2 3 3" xfId="9340"/>
    <cellStyle name="Итог 3 2 2 3 4" xfId="9341"/>
    <cellStyle name="Итог 3 2 2 4" xfId="9342"/>
    <cellStyle name="Итог 3 2 2 5" xfId="9343"/>
    <cellStyle name="Итог 3 2 2 6" xfId="9344"/>
    <cellStyle name="Итог 3 2 3" xfId="9345"/>
    <cellStyle name="Итог 3 2 3 2" xfId="9346"/>
    <cellStyle name="Итог 3 2 3 2 2" xfId="9347"/>
    <cellStyle name="Итог 3 2 3 2 3" xfId="9348"/>
    <cellStyle name="Итог 3 2 3 2 4" xfId="9349"/>
    <cellStyle name="Итог 3 2 3 3" xfId="9350"/>
    <cellStyle name="Итог 3 2 3 3 2" xfId="9351"/>
    <cellStyle name="Итог 3 2 3 3 3" xfId="9352"/>
    <cellStyle name="Итог 3 2 3 3 4" xfId="9353"/>
    <cellStyle name="Итог 3 2 3 4" xfId="9354"/>
    <cellStyle name="Итог 3 2 3 5" xfId="9355"/>
    <cellStyle name="Итог 3 2 3 6" xfId="9356"/>
    <cellStyle name="Итог 3 2 4" xfId="9357"/>
    <cellStyle name="Итог 3 2 4 2" xfId="9358"/>
    <cellStyle name="Итог 3 2 4 2 2" xfId="9359"/>
    <cellStyle name="Итог 3 2 4 2 3" xfId="9360"/>
    <cellStyle name="Итог 3 2 4 2 4" xfId="9361"/>
    <cellStyle name="Итог 3 2 4 3" xfId="9362"/>
    <cellStyle name="Итог 3 2 4 3 2" xfId="9363"/>
    <cellStyle name="Итог 3 2 4 3 3" xfId="9364"/>
    <cellStyle name="Итог 3 2 4 3 4" xfId="9365"/>
    <cellStyle name="Итог 3 2 4 4" xfId="9366"/>
    <cellStyle name="Итог 3 2 4 5" xfId="9367"/>
    <cellStyle name="Итог 3 2 4 6" xfId="9368"/>
    <cellStyle name="Итог 3 2 5" xfId="9369"/>
    <cellStyle name="Итог 3 2 5 2" xfId="9370"/>
    <cellStyle name="Итог 3 2 5 2 2" xfId="9371"/>
    <cellStyle name="Итог 3 2 5 2 3" xfId="9372"/>
    <cellStyle name="Итог 3 2 5 2 4" xfId="9373"/>
    <cellStyle name="Итог 3 2 5 3" xfId="9374"/>
    <cellStyle name="Итог 3 2 5 3 2" xfId="9375"/>
    <cellStyle name="Итог 3 2 5 3 3" xfId="9376"/>
    <cellStyle name="Итог 3 2 5 3 4" xfId="9377"/>
    <cellStyle name="Итог 3 2 5 4" xfId="9378"/>
    <cellStyle name="Итог 3 2 5 5" xfId="9379"/>
    <cellStyle name="Итог 3 2 5 6" xfId="9380"/>
    <cellStyle name="Итог 3 2 6" xfId="9381"/>
    <cellStyle name="Итог 3 2 6 2" xfId="9382"/>
    <cellStyle name="Итог 3 2 6 3" xfId="9383"/>
    <cellStyle name="Итог 3 2 6 4" xfId="9384"/>
    <cellStyle name="Итог 3 2 7" xfId="9385"/>
    <cellStyle name="Итог 3 2 7 2" xfId="9386"/>
    <cellStyle name="Итог 3 2 7 3" xfId="9387"/>
    <cellStyle name="Итог 3 2 7 4" xfId="9388"/>
    <cellStyle name="Итог 3 2 8" xfId="9389"/>
    <cellStyle name="Итог 3 2 9" xfId="9390"/>
    <cellStyle name="Итог 3 20" xfId="9391"/>
    <cellStyle name="Итог 3 21" xfId="9392"/>
    <cellStyle name="Итог 3 22" xfId="9393"/>
    <cellStyle name="Итог 3 23" xfId="9394"/>
    <cellStyle name="Итог 3 24" xfId="9395"/>
    <cellStyle name="Итог 3 25" xfId="9396"/>
    <cellStyle name="Итог 3 26" xfId="9397"/>
    <cellStyle name="Итог 3 27" xfId="9398"/>
    <cellStyle name="Итог 3 28" xfId="9399"/>
    <cellStyle name="Итог 3 29" xfId="9400"/>
    <cellStyle name="Итог 3 3" xfId="9401"/>
    <cellStyle name="Итог 3 3 2" xfId="9402"/>
    <cellStyle name="Итог 3 3 2 2" xfId="9403"/>
    <cellStyle name="Итог 3 3 2 3" xfId="9404"/>
    <cellStyle name="Итог 3 3 2 4" xfId="9405"/>
    <cellStyle name="Итог 3 3 3" xfId="9406"/>
    <cellStyle name="Итог 3 3 3 2" xfId="9407"/>
    <cellStyle name="Итог 3 3 3 3" xfId="9408"/>
    <cellStyle name="Итог 3 3 3 4" xfId="9409"/>
    <cellStyle name="Итог 3 3 4" xfId="9410"/>
    <cellStyle name="Итог 3 3 5" xfId="9411"/>
    <cellStyle name="Итог 3 3 6" xfId="9412"/>
    <cellStyle name="Итог 3 30" xfId="9413"/>
    <cellStyle name="Итог 3 31" xfId="9414"/>
    <cellStyle name="Итог 3 32" xfId="9415"/>
    <cellStyle name="Итог 3 33" xfId="9416"/>
    <cellStyle name="Итог 3 34" xfId="9417"/>
    <cellStyle name="Итог 3 35" xfId="9418"/>
    <cellStyle name="Итог 3 36" xfId="9419"/>
    <cellStyle name="Итог 3 37" xfId="9420"/>
    <cellStyle name="Итог 3 38" xfId="9421"/>
    <cellStyle name="Итог 3 39" xfId="9422"/>
    <cellStyle name="Итог 3 4" xfId="9423"/>
    <cellStyle name="Итог 3 4 2" xfId="9424"/>
    <cellStyle name="Итог 3 4 2 2" xfId="9425"/>
    <cellStyle name="Итог 3 4 2 3" xfId="9426"/>
    <cellStyle name="Итог 3 4 2 4" xfId="9427"/>
    <cellStyle name="Итог 3 4 3" xfId="9428"/>
    <cellStyle name="Итог 3 4 3 2" xfId="9429"/>
    <cellStyle name="Итог 3 4 3 3" xfId="9430"/>
    <cellStyle name="Итог 3 4 3 4" xfId="9431"/>
    <cellStyle name="Итог 3 4 4" xfId="9432"/>
    <cellStyle name="Итог 3 4 5" xfId="9433"/>
    <cellStyle name="Итог 3 4 6" xfId="9434"/>
    <cellStyle name="Итог 3 40" xfId="9435"/>
    <cellStyle name="Итог 3 41" xfId="9436"/>
    <cellStyle name="Итог 3 42" xfId="9437"/>
    <cellStyle name="Итог 3 43" xfId="9438"/>
    <cellStyle name="Итог 3 44" xfId="9439"/>
    <cellStyle name="Итог 3 5" xfId="9440"/>
    <cellStyle name="Итог 3 5 2" xfId="9441"/>
    <cellStyle name="Итог 3 5 2 2" xfId="9442"/>
    <cellStyle name="Итог 3 5 2 3" xfId="9443"/>
    <cellStyle name="Итог 3 5 2 4" xfId="9444"/>
    <cellStyle name="Итог 3 5 3" xfId="9445"/>
    <cellStyle name="Итог 3 5 3 2" xfId="9446"/>
    <cellStyle name="Итог 3 5 3 3" xfId="9447"/>
    <cellStyle name="Итог 3 5 3 4" xfId="9448"/>
    <cellStyle name="Итог 3 5 4" xfId="9449"/>
    <cellStyle name="Итог 3 5 5" xfId="9450"/>
    <cellStyle name="Итог 3 5 6" xfId="9451"/>
    <cellStyle name="Итог 3 6" xfId="9452"/>
    <cellStyle name="Итог 3 6 2" xfId="9453"/>
    <cellStyle name="Итог 3 6 2 2" xfId="9454"/>
    <cellStyle name="Итог 3 6 2 3" xfId="9455"/>
    <cellStyle name="Итог 3 6 2 4" xfId="9456"/>
    <cellStyle name="Итог 3 6 3" xfId="9457"/>
    <cellStyle name="Итог 3 6 3 2" xfId="9458"/>
    <cellStyle name="Итог 3 6 3 3" xfId="9459"/>
    <cellStyle name="Итог 3 6 3 4" xfId="9460"/>
    <cellStyle name="Итог 3 6 4" xfId="9461"/>
    <cellStyle name="Итог 3 6 5" xfId="9462"/>
    <cellStyle name="Итог 3 6 6" xfId="9463"/>
    <cellStyle name="Итог 3 7" xfId="9464"/>
    <cellStyle name="Итог 3 7 2" xfId="9465"/>
    <cellStyle name="Итог 3 7 3" xfId="9466"/>
    <cellStyle name="Итог 3 7 4" xfId="9467"/>
    <cellStyle name="Итог 3 8" xfId="9468"/>
    <cellStyle name="Итог 3 8 2" xfId="9469"/>
    <cellStyle name="Итог 3 8 3" xfId="9470"/>
    <cellStyle name="Итог 3 8 4" xfId="9471"/>
    <cellStyle name="Итог 3 9" xfId="9472"/>
    <cellStyle name="Итог 3_46EE.2011(v1.0)" xfId="9473"/>
    <cellStyle name="Итог 4" xfId="9474"/>
    <cellStyle name="Итог 4 10" xfId="9475"/>
    <cellStyle name="Итог 4 11" xfId="9476"/>
    <cellStyle name="Итог 4 12" xfId="9477"/>
    <cellStyle name="Итог 4 13" xfId="9478"/>
    <cellStyle name="Итог 4 14" xfId="9479"/>
    <cellStyle name="Итог 4 15" xfId="9480"/>
    <cellStyle name="Итог 4 16" xfId="9481"/>
    <cellStyle name="Итог 4 17" xfId="9482"/>
    <cellStyle name="Итог 4 18" xfId="9483"/>
    <cellStyle name="Итог 4 19" xfId="9484"/>
    <cellStyle name="Итог 4 2" xfId="9485"/>
    <cellStyle name="Итог 4 2 10" xfId="9486"/>
    <cellStyle name="Итог 4 2 2" xfId="9487"/>
    <cellStyle name="Итог 4 2 2 2" xfId="9488"/>
    <cellStyle name="Итог 4 2 2 2 2" xfId="9489"/>
    <cellStyle name="Итог 4 2 2 2 3" xfId="9490"/>
    <cellStyle name="Итог 4 2 2 2 4" xfId="9491"/>
    <cellStyle name="Итог 4 2 2 3" xfId="9492"/>
    <cellStyle name="Итог 4 2 2 3 2" xfId="9493"/>
    <cellStyle name="Итог 4 2 2 3 3" xfId="9494"/>
    <cellStyle name="Итог 4 2 2 3 4" xfId="9495"/>
    <cellStyle name="Итог 4 2 2 4" xfId="9496"/>
    <cellStyle name="Итог 4 2 2 5" xfId="9497"/>
    <cellStyle name="Итог 4 2 2 6" xfId="9498"/>
    <cellStyle name="Итог 4 2 3" xfId="9499"/>
    <cellStyle name="Итог 4 2 3 2" xfId="9500"/>
    <cellStyle name="Итог 4 2 3 2 2" xfId="9501"/>
    <cellStyle name="Итог 4 2 3 2 3" xfId="9502"/>
    <cellStyle name="Итог 4 2 3 2 4" xfId="9503"/>
    <cellStyle name="Итог 4 2 3 3" xfId="9504"/>
    <cellStyle name="Итог 4 2 3 3 2" xfId="9505"/>
    <cellStyle name="Итог 4 2 3 3 3" xfId="9506"/>
    <cellStyle name="Итог 4 2 3 3 4" xfId="9507"/>
    <cellStyle name="Итог 4 2 3 4" xfId="9508"/>
    <cellStyle name="Итог 4 2 3 5" xfId="9509"/>
    <cellStyle name="Итог 4 2 3 6" xfId="9510"/>
    <cellStyle name="Итог 4 2 4" xfId="9511"/>
    <cellStyle name="Итог 4 2 4 2" xfId="9512"/>
    <cellStyle name="Итог 4 2 4 2 2" xfId="9513"/>
    <cellStyle name="Итог 4 2 4 2 3" xfId="9514"/>
    <cellStyle name="Итог 4 2 4 2 4" xfId="9515"/>
    <cellStyle name="Итог 4 2 4 3" xfId="9516"/>
    <cellStyle name="Итог 4 2 4 3 2" xfId="9517"/>
    <cellStyle name="Итог 4 2 4 3 3" xfId="9518"/>
    <cellStyle name="Итог 4 2 4 3 4" xfId="9519"/>
    <cellStyle name="Итог 4 2 4 4" xfId="9520"/>
    <cellStyle name="Итог 4 2 4 5" xfId="9521"/>
    <cellStyle name="Итог 4 2 4 6" xfId="9522"/>
    <cellStyle name="Итог 4 2 5" xfId="9523"/>
    <cellStyle name="Итог 4 2 5 2" xfId="9524"/>
    <cellStyle name="Итог 4 2 5 2 2" xfId="9525"/>
    <cellStyle name="Итог 4 2 5 2 3" xfId="9526"/>
    <cellStyle name="Итог 4 2 5 2 4" xfId="9527"/>
    <cellStyle name="Итог 4 2 5 3" xfId="9528"/>
    <cellStyle name="Итог 4 2 5 3 2" xfId="9529"/>
    <cellStyle name="Итог 4 2 5 3 3" xfId="9530"/>
    <cellStyle name="Итог 4 2 5 3 4" xfId="9531"/>
    <cellStyle name="Итог 4 2 5 4" xfId="9532"/>
    <cellStyle name="Итог 4 2 5 5" xfId="9533"/>
    <cellStyle name="Итог 4 2 5 6" xfId="9534"/>
    <cellStyle name="Итог 4 2 6" xfId="9535"/>
    <cellStyle name="Итог 4 2 6 2" xfId="9536"/>
    <cellStyle name="Итог 4 2 6 3" xfId="9537"/>
    <cellStyle name="Итог 4 2 6 4" xfId="9538"/>
    <cellStyle name="Итог 4 2 7" xfId="9539"/>
    <cellStyle name="Итог 4 2 7 2" xfId="9540"/>
    <cellStyle name="Итог 4 2 7 3" xfId="9541"/>
    <cellStyle name="Итог 4 2 7 4" xfId="9542"/>
    <cellStyle name="Итог 4 2 8" xfId="9543"/>
    <cellStyle name="Итог 4 2 9" xfId="9544"/>
    <cellStyle name="Итог 4 20" xfId="9545"/>
    <cellStyle name="Итог 4 21" xfId="9546"/>
    <cellStyle name="Итог 4 22" xfId="9547"/>
    <cellStyle name="Итог 4 23" xfId="9548"/>
    <cellStyle name="Итог 4 24" xfId="9549"/>
    <cellStyle name="Итог 4 25" xfId="9550"/>
    <cellStyle name="Итог 4 26" xfId="9551"/>
    <cellStyle name="Итог 4 27" xfId="9552"/>
    <cellStyle name="Итог 4 28" xfId="9553"/>
    <cellStyle name="Итог 4 29" xfId="9554"/>
    <cellStyle name="Итог 4 3" xfId="9555"/>
    <cellStyle name="Итог 4 3 2" xfId="9556"/>
    <cellStyle name="Итог 4 3 2 2" xfId="9557"/>
    <cellStyle name="Итог 4 3 2 3" xfId="9558"/>
    <cellStyle name="Итог 4 3 2 4" xfId="9559"/>
    <cellStyle name="Итог 4 3 3" xfId="9560"/>
    <cellStyle name="Итог 4 3 3 2" xfId="9561"/>
    <cellStyle name="Итог 4 3 3 3" xfId="9562"/>
    <cellStyle name="Итог 4 3 3 4" xfId="9563"/>
    <cellStyle name="Итог 4 3 4" xfId="9564"/>
    <cellStyle name="Итог 4 3 5" xfId="9565"/>
    <cellStyle name="Итог 4 3 6" xfId="9566"/>
    <cellStyle name="Итог 4 30" xfId="9567"/>
    <cellStyle name="Итог 4 31" xfId="9568"/>
    <cellStyle name="Итог 4 32" xfId="9569"/>
    <cellStyle name="Итог 4 33" xfId="9570"/>
    <cellStyle name="Итог 4 34" xfId="9571"/>
    <cellStyle name="Итог 4 35" xfId="9572"/>
    <cellStyle name="Итог 4 36" xfId="9573"/>
    <cellStyle name="Итог 4 37" xfId="9574"/>
    <cellStyle name="Итог 4 38" xfId="9575"/>
    <cellStyle name="Итог 4 39" xfId="9576"/>
    <cellStyle name="Итог 4 4" xfId="9577"/>
    <cellStyle name="Итог 4 4 2" xfId="9578"/>
    <cellStyle name="Итог 4 4 2 2" xfId="9579"/>
    <cellStyle name="Итог 4 4 2 3" xfId="9580"/>
    <cellStyle name="Итог 4 4 2 4" xfId="9581"/>
    <cellStyle name="Итог 4 4 3" xfId="9582"/>
    <cellStyle name="Итог 4 4 3 2" xfId="9583"/>
    <cellStyle name="Итог 4 4 3 3" xfId="9584"/>
    <cellStyle name="Итог 4 4 3 4" xfId="9585"/>
    <cellStyle name="Итог 4 4 4" xfId="9586"/>
    <cellStyle name="Итог 4 4 5" xfId="9587"/>
    <cellStyle name="Итог 4 4 6" xfId="9588"/>
    <cellStyle name="Итог 4 40" xfId="9589"/>
    <cellStyle name="Итог 4 41" xfId="9590"/>
    <cellStyle name="Итог 4 42" xfId="9591"/>
    <cellStyle name="Итог 4 43" xfId="9592"/>
    <cellStyle name="Итог 4 44" xfId="9593"/>
    <cellStyle name="Итог 4 5" xfId="9594"/>
    <cellStyle name="Итог 4 5 2" xfId="9595"/>
    <cellStyle name="Итог 4 5 2 2" xfId="9596"/>
    <cellStyle name="Итог 4 5 2 3" xfId="9597"/>
    <cellStyle name="Итог 4 5 2 4" xfId="9598"/>
    <cellStyle name="Итог 4 5 3" xfId="9599"/>
    <cellStyle name="Итог 4 5 3 2" xfId="9600"/>
    <cellStyle name="Итог 4 5 3 3" xfId="9601"/>
    <cellStyle name="Итог 4 5 3 4" xfId="9602"/>
    <cellStyle name="Итог 4 5 4" xfId="9603"/>
    <cellStyle name="Итог 4 5 5" xfId="9604"/>
    <cellStyle name="Итог 4 5 6" xfId="9605"/>
    <cellStyle name="Итог 4 6" xfId="9606"/>
    <cellStyle name="Итог 4 6 2" xfId="9607"/>
    <cellStyle name="Итог 4 6 2 2" xfId="9608"/>
    <cellStyle name="Итог 4 6 2 3" xfId="9609"/>
    <cellStyle name="Итог 4 6 2 4" xfId="9610"/>
    <cellStyle name="Итог 4 6 3" xfId="9611"/>
    <cellStyle name="Итог 4 6 3 2" xfId="9612"/>
    <cellStyle name="Итог 4 6 3 3" xfId="9613"/>
    <cellStyle name="Итог 4 6 3 4" xfId="9614"/>
    <cellStyle name="Итог 4 6 4" xfId="9615"/>
    <cellStyle name="Итог 4 6 5" xfId="9616"/>
    <cellStyle name="Итог 4 6 6" xfId="9617"/>
    <cellStyle name="Итог 4 7" xfId="9618"/>
    <cellStyle name="Итог 4 7 2" xfId="9619"/>
    <cellStyle name="Итог 4 7 3" xfId="9620"/>
    <cellStyle name="Итог 4 7 4" xfId="9621"/>
    <cellStyle name="Итог 4 8" xfId="9622"/>
    <cellStyle name="Итог 4 8 2" xfId="9623"/>
    <cellStyle name="Итог 4 8 3" xfId="9624"/>
    <cellStyle name="Итог 4 8 4" xfId="9625"/>
    <cellStyle name="Итог 4 9" xfId="9626"/>
    <cellStyle name="Итог 4_46EE.2011(v1.0)" xfId="9627"/>
    <cellStyle name="Итог 5" xfId="9628"/>
    <cellStyle name="Итог 5 10" xfId="9629"/>
    <cellStyle name="Итог 5 11" xfId="9630"/>
    <cellStyle name="Итог 5 12" xfId="9631"/>
    <cellStyle name="Итог 5 13" xfId="9632"/>
    <cellStyle name="Итог 5 14" xfId="9633"/>
    <cellStyle name="Итог 5 15" xfId="9634"/>
    <cellStyle name="Итог 5 16" xfId="9635"/>
    <cellStyle name="Итог 5 17" xfId="9636"/>
    <cellStyle name="Итог 5 18" xfId="9637"/>
    <cellStyle name="Итог 5 19" xfId="9638"/>
    <cellStyle name="Итог 5 2" xfId="9639"/>
    <cellStyle name="Итог 5 2 10" xfId="9640"/>
    <cellStyle name="Итог 5 2 2" xfId="9641"/>
    <cellStyle name="Итог 5 2 2 2" xfId="9642"/>
    <cellStyle name="Итог 5 2 2 2 2" xfId="9643"/>
    <cellStyle name="Итог 5 2 2 2 3" xfId="9644"/>
    <cellStyle name="Итог 5 2 2 2 4" xfId="9645"/>
    <cellStyle name="Итог 5 2 2 3" xfId="9646"/>
    <cellStyle name="Итог 5 2 2 3 2" xfId="9647"/>
    <cellStyle name="Итог 5 2 2 3 3" xfId="9648"/>
    <cellStyle name="Итог 5 2 2 3 4" xfId="9649"/>
    <cellStyle name="Итог 5 2 2 4" xfId="9650"/>
    <cellStyle name="Итог 5 2 2 5" xfId="9651"/>
    <cellStyle name="Итог 5 2 2 6" xfId="9652"/>
    <cellStyle name="Итог 5 2 3" xfId="9653"/>
    <cellStyle name="Итог 5 2 3 2" xfId="9654"/>
    <cellStyle name="Итог 5 2 3 2 2" xfId="9655"/>
    <cellStyle name="Итог 5 2 3 2 3" xfId="9656"/>
    <cellStyle name="Итог 5 2 3 2 4" xfId="9657"/>
    <cellStyle name="Итог 5 2 3 3" xfId="9658"/>
    <cellStyle name="Итог 5 2 3 3 2" xfId="9659"/>
    <cellStyle name="Итог 5 2 3 3 3" xfId="9660"/>
    <cellStyle name="Итог 5 2 3 3 4" xfId="9661"/>
    <cellStyle name="Итог 5 2 3 4" xfId="9662"/>
    <cellStyle name="Итог 5 2 3 5" xfId="9663"/>
    <cellStyle name="Итог 5 2 3 6" xfId="9664"/>
    <cellStyle name="Итог 5 2 4" xfId="9665"/>
    <cellStyle name="Итог 5 2 4 2" xfId="9666"/>
    <cellStyle name="Итог 5 2 4 2 2" xfId="9667"/>
    <cellStyle name="Итог 5 2 4 2 3" xfId="9668"/>
    <cellStyle name="Итог 5 2 4 2 4" xfId="9669"/>
    <cellStyle name="Итог 5 2 4 3" xfId="9670"/>
    <cellStyle name="Итог 5 2 4 3 2" xfId="9671"/>
    <cellStyle name="Итог 5 2 4 3 3" xfId="9672"/>
    <cellStyle name="Итог 5 2 4 3 4" xfId="9673"/>
    <cellStyle name="Итог 5 2 4 4" xfId="9674"/>
    <cellStyle name="Итог 5 2 4 5" xfId="9675"/>
    <cellStyle name="Итог 5 2 4 6" xfId="9676"/>
    <cellStyle name="Итог 5 2 5" xfId="9677"/>
    <cellStyle name="Итог 5 2 5 2" xfId="9678"/>
    <cellStyle name="Итог 5 2 5 2 2" xfId="9679"/>
    <cellStyle name="Итог 5 2 5 2 3" xfId="9680"/>
    <cellStyle name="Итог 5 2 5 2 4" xfId="9681"/>
    <cellStyle name="Итог 5 2 5 3" xfId="9682"/>
    <cellStyle name="Итог 5 2 5 3 2" xfId="9683"/>
    <cellStyle name="Итог 5 2 5 3 3" xfId="9684"/>
    <cellStyle name="Итог 5 2 5 3 4" xfId="9685"/>
    <cellStyle name="Итог 5 2 5 4" xfId="9686"/>
    <cellStyle name="Итог 5 2 5 5" xfId="9687"/>
    <cellStyle name="Итог 5 2 5 6" xfId="9688"/>
    <cellStyle name="Итог 5 2 6" xfId="9689"/>
    <cellStyle name="Итог 5 2 6 2" xfId="9690"/>
    <cellStyle name="Итог 5 2 6 3" xfId="9691"/>
    <cellStyle name="Итог 5 2 6 4" xfId="9692"/>
    <cellStyle name="Итог 5 2 7" xfId="9693"/>
    <cellStyle name="Итог 5 2 7 2" xfId="9694"/>
    <cellStyle name="Итог 5 2 7 3" xfId="9695"/>
    <cellStyle name="Итог 5 2 7 4" xfId="9696"/>
    <cellStyle name="Итог 5 2 8" xfId="9697"/>
    <cellStyle name="Итог 5 2 9" xfId="9698"/>
    <cellStyle name="Итог 5 20" xfId="9699"/>
    <cellStyle name="Итог 5 21" xfId="9700"/>
    <cellStyle name="Итог 5 22" xfId="9701"/>
    <cellStyle name="Итог 5 23" xfId="9702"/>
    <cellStyle name="Итог 5 24" xfId="9703"/>
    <cellStyle name="Итог 5 25" xfId="9704"/>
    <cellStyle name="Итог 5 26" xfId="9705"/>
    <cellStyle name="Итог 5 27" xfId="9706"/>
    <cellStyle name="Итог 5 28" xfId="9707"/>
    <cellStyle name="Итог 5 29" xfId="9708"/>
    <cellStyle name="Итог 5 3" xfId="9709"/>
    <cellStyle name="Итог 5 3 2" xfId="9710"/>
    <cellStyle name="Итог 5 3 2 2" xfId="9711"/>
    <cellStyle name="Итог 5 3 2 3" xfId="9712"/>
    <cellStyle name="Итог 5 3 2 4" xfId="9713"/>
    <cellStyle name="Итог 5 3 3" xfId="9714"/>
    <cellStyle name="Итог 5 3 3 2" xfId="9715"/>
    <cellStyle name="Итог 5 3 3 3" xfId="9716"/>
    <cellStyle name="Итог 5 3 3 4" xfId="9717"/>
    <cellStyle name="Итог 5 3 4" xfId="9718"/>
    <cellStyle name="Итог 5 3 5" xfId="9719"/>
    <cellStyle name="Итог 5 3 6" xfId="9720"/>
    <cellStyle name="Итог 5 30" xfId="9721"/>
    <cellStyle name="Итог 5 31" xfId="9722"/>
    <cellStyle name="Итог 5 32" xfId="9723"/>
    <cellStyle name="Итог 5 33" xfId="9724"/>
    <cellStyle name="Итог 5 34" xfId="9725"/>
    <cellStyle name="Итог 5 35" xfId="9726"/>
    <cellStyle name="Итог 5 36" xfId="9727"/>
    <cellStyle name="Итог 5 37" xfId="9728"/>
    <cellStyle name="Итог 5 38" xfId="9729"/>
    <cellStyle name="Итог 5 39" xfId="9730"/>
    <cellStyle name="Итог 5 4" xfId="9731"/>
    <cellStyle name="Итог 5 4 2" xfId="9732"/>
    <cellStyle name="Итог 5 4 2 2" xfId="9733"/>
    <cellStyle name="Итог 5 4 2 3" xfId="9734"/>
    <cellStyle name="Итог 5 4 2 4" xfId="9735"/>
    <cellStyle name="Итог 5 4 3" xfId="9736"/>
    <cellStyle name="Итог 5 4 3 2" xfId="9737"/>
    <cellStyle name="Итог 5 4 3 3" xfId="9738"/>
    <cellStyle name="Итог 5 4 3 4" xfId="9739"/>
    <cellStyle name="Итог 5 4 4" xfId="9740"/>
    <cellStyle name="Итог 5 4 5" xfId="9741"/>
    <cellStyle name="Итог 5 4 6" xfId="9742"/>
    <cellStyle name="Итог 5 40" xfId="9743"/>
    <cellStyle name="Итог 5 41" xfId="9744"/>
    <cellStyle name="Итог 5 42" xfId="9745"/>
    <cellStyle name="Итог 5 43" xfId="9746"/>
    <cellStyle name="Итог 5 44" xfId="9747"/>
    <cellStyle name="Итог 5 5" xfId="9748"/>
    <cellStyle name="Итог 5 5 2" xfId="9749"/>
    <cellStyle name="Итог 5 5 2 2" xfId="9750"/>
    <cellStyle name="Итог 5 5 2 3" xfId="9751"/>
    <cellStyle name="Итог 5 5 2 4" xfId="9752"/>
    <cellStyle name="Итог 5 5 3" xfId="9753"/>
    <cellStyle name="Итог 5 5 3 2" xfId="9754"/>
    <cellStyle name="Итог 5 5 3 3" xfId="9755"/>
    <cellStyle name="Итог 5 5 3 4" xfId="9756"/>
    <cellStyle name="Итог 5 5 4" xfId="9757"/>
    <cellStyle name="Итог 5 5 5" xfId="9758"/>
    <cellStyle name="Итог 5 5 6" xfId="9759"/>
    <cellStyle name="Итог 5 6" xfId="9760"/>
    <cellStyle name="Итог 5 6 2" xfId="9761"/>
    <cellStyle name="Итог 5 6 2 2" xfId="9762"/>
    <cellStyle name="Итог 5 6 2 3" xfId="9763"/>
    <cellStyle name="Итог 5 6 2 4" xfId="9764"/>
    <cellStyle name="Итог 5 6 3" xfId="9765"/>
    <cellStyle name="Итог 5 6 3 2" xfId="9766"/>
    <cellStyle name="Итог 5 6 3 3" xfId="9767"/>
    <cellStyle name="Итог 5 6 3 4" xfId="9768"/>
    <cellStyle name="Итог 5 6 4" xfId="9769"/>
    <cellStyle name="Итог 5 6 5" xfId="9770"/>
    <cellStyle name="Итог 5 6 6" xfId="9771"/>
    <cellStyle name="Итог 5 7" xfId="9772"/>
    <cellStyle name="Итог 5 7 2" xfId="9773"/>
    <cellStyle name="Итог 5 7 3" xfId="9774"/>
    <cellStyle name="Итог 5 7 4" xfId="9775"/>
    <cellStyle name="Итог 5 8" xfId="9776"/>
    <cellStyle name="Итог 5 8 2" xfId="9777"/>
    <cellStyle name="Итог 5 8 3" xfId="9778"/>
    <cellStyle name="Итог 5 8 4" xfId="9779"/>
    <cellStyle name="Итог 5 9" xfId="9780"/>
    <cellStyle name="Итог 5_46EE.2011(v1.0)" xfId="9781"/>
    <cellStyle name="Итог 6" xfId="9782"/>
    <cellStyle name="Итог 6 10" xfId="9783"/>
    <cellStyle name="Итог 6 11" xfId="9784"/>
    <cellStyle name="Итог 6 12" xfId="9785"/>
    <cellStyle name="Итог 6 13" xfId="9786"/>
    <cellStyle name="Итог 6 14" xfId="9787"/>
    <cellStyle name="Итог 6 15" xfId="9788"/>
    <cellStyle name="Итог 6 16" xfId="9789"/>
    <cellStyle name="Итог 6 17" xfId="9790"/>
    <cellStyle name="Итог 6 18" xfId="9791"/>
    <cellStyle name="Итог 6 19" xfId="9792"/>
    <cellStyle name="Итог 6 2" xfId="9793"/>
    <cellStyle name="Итог 6 2 10" xfId="9794"/>
    <cellStyle name="Итог 6 2 2" xfId="9795"/>
    <cellStyle name="Итог 6 2 2 2" xfId="9796"/>
    <cellStyle name="Итог 6 2 2 2 2" xfId="9797"/>
    <cellStyle name="Итог 6 2 2 2 3" xfId="9798"/>
    <cellStyle name="Итог 6 2 2 2 4" xfId="9799"/>
    <cellStyle name="Итог 6 2 2 3" xfId="9800"/>
    <cellStyle name="Итог 6 2 2 3 2" xfId="9801"/>
    <cellStyle name="Итог 6 2 2 3 3" xfId="9802"/>
    <cellStyle name="Итог 6 2 2 3 4" xfId="9803"/>
    <cellStyle name="Итог 6 2 2 4" xfId="9804"/>
    <cellStyle name="Итог 6 2 2 5" xfId="9805"/>
    <cellStyle name="Итог 6 2 2 6" xfId="9806"/>
    <cellStyle name="Итог 6 2 3" xfId="9807"/>
    <cellStyle name="Итог 6 2 3 2" xfId="9808"/>
    <cellStyle name="Итог 6 2 3 2 2" xfId="9809"/>
    <cellStyle name="Итог 6 2 3 2 3" xfId="9810"/>
    <cellStyle name="Итог 6 2 3 2 4" xfId="9811"/>
    <cellStyle name="Итог 6 2 3 3" xfId="9812"/>
    <cellStyle name="Итог 6 2 3 3 2" xfId="9813"/>
    <cellStyle name="Итог 6 2 3 3 3" xfId="9814"/>
    <cellStyle name="Итог 6 2 3 3 4" xfId="9815"/>
    <cellStyle name="Итог 6 2 3 4" xfId="9816"/>
    <cellStyle name="Итог 6 2 3 5" xfId="9817"/>
    <cellStyle name="Итог 6 2 3 6" xfId="9818"/>
    <cellStyle name="Итог 6 2 4" xfId="9819"/>
    <cellStyle name="Итог 6 2 4 2" xfId="9820"/>
    <cellStyle name="Итог 6 2 4 2 2" xfId="9821"/>
    <cellStyle name="Итог 6 2 4 2 3" xfId="9822"/>
    <cellStyle name="Итог 6 2 4 2 4" xfId="9823"/>
    <cellStyle name="Итог 6 2 4 3" xfId="9824"/>
    <cellStyle name="Итог 6 2 4 3 2" xfId="9825"/>
    <cellStyle name="Итог 6 2 4 3 3" xfId="9826"/>
    <cellStyle name="Итог 6 2 4 3 4" xfId="9827"/>
    <cellStyle name="Итог 6 2 4 4" xfId="9828"/>
    <cellStyle name="Итог 6 2 4 5" xfId="9829"/>
    <cellStyle name="Итог 6 2 4 6" xfId="9830"/>
    <cellStyle name="Итог 6 2 5" xfId="9831"/>
    <cellStyle name="Итог 6 2 5 2" xfId="9832"/>
    <cellStyle name="Итог 6 2 5 2 2" xfId="9833"/>
    <cellStyle name="Итог 6 2 5 2 3" xfId="9834"/>
    <cellStyle name="Итог 6 2 5 2 4" xfId="9835"/>
    <cellStyle name="Итог 6 2 5 3" xfId="9836"/>
    <cellStyle name="Итог 6 2 5 3 2" xfId="9837"/>
    <cellStyle name="Итог 6 2 5 3 3" xfId="9838"/>
    <cellStyle name="Итог 6 2 5 3 4" xfId="9839"/>
    <cellStyle name="Итог 6 2 5 4" xfId="9840"/>
    <cellStyle name="Итог 6 2 5 5" xfId="9841"/>
    <cellStyle name="Итог 6 2 5 6" xfId="9842"/>
    <cellStyle name="Итог 6 2 6" xfId="9843"/>
    <cellStyle name="Итог 6 2 6 2" xfId="9844"/>
    <cellStyle name="Итог 6 2 6 3" xfId="9845"/>
    <cellStyle name="Итог 6 2 6 4" xfId="9846"/>
    <cellStyle name="Итог 6 2 7" xfId="9847"/>
    <cellStyle name="Итог 6 2 7 2" xfId="9848"/>
    <cellStyle name="Итог 6 2 7 3" xfId="9849"/>
    <cellStyle name="Итог 6 2 7 4" xfId="9850"/>
    <cellStyle name="Итог 6 2 8" xfId="9851"/>
    <cellStyle name="Итог 6 2 9" xfId="9852"/>
    <cellStyle name="Итог 6 20" xfId="9853"/>
    <cellStyle name="Итог 6 21" xfId="9854"/>
    <cellStyle name="Итог 6 22" xfId="9855"/>
    <cellStyle name="Итог 6 23" xfId="9856"/>
    <cellStyle name="Итог 6 24" xfId="9857"/>
    <cellStyle name="Итог 6 25" xfId="9858"/>
    <cellStyle name="Итог 6 26" xfId="9859"/>
    <cellStyle name="Итог 6 27" xfId="9860"/>
    <cellStyle name="Итог 6 28" xfId="9861"/>
    <cellStyle name="Итог 6 29" xfId="9862"/>
    <cellStyle name="Итог 6 3" xfId="9863"/>
    <cellStyle name="Итог 6 3 2" xfId="9864"/>
    <cellStyle name="Итог 6 3 2 2" xfId="9865"/>
    <cellStyle name="Итог 6 3 2 3" xfId="9866"/>
    <cellStyle name="Итог 6 3 2 4" xfId="9867"/>
    <cellStyle name="Итог 6 3 3" xfId="9868"/>
    <cellStyle name="Итог 6 3 3 2" xfId="9869"/>
    <cellStyle name="Итог 6 3 3 3" xfId="9870"/>
    <cellStyle name="Итог 6 3 3 4" xfId="9871"/>
    <cellStyle name="Итог 6 3 4" xfId="9872"/>
    <cellStyle name="Итог 6 3 5" xfId="9873"/>
    <cellStyle name="Итог 6 3 6" xfId="9874"/>
    <cellStyle name="Итог 6 30" xfId="9875"/>
    <cellStyle name="Итог 6 31" xfId="9876"/>
    <cellStyle name="Итог 6 32" xfId="9877"/>
    <cellStyle name="Итог 6 33" xfId="9878"/>
    <cellStyle name="Итог 6 34" xfId="9879"/>
    <cellStyle name="Итог 6 35" xfId="9880"/>
    <cellStyle name="Итог 6 36" xfId="9881"/>
    <cellStyle name="Итог 6 37" xfId="9882"/>
    <cellStyle name="Итог 6 38" xfId="9883"/>
    <cellStyle name="Итог 6 39" xfId="9884"/>
    <cellStyle name="Итог 6 4" xfId="9885"/>
    <cellStyle name="Итог 6 4 2" xfId="9886"/>
    <cellStyle name="Итог 6 4 2 2" xfId="9887"/>
    <cellStyle name="Итог 6 4 2 3" xfId="9888"/>
    <cellStyle name="Итог 6 4 2 4" xfId="9889"/>
    <cellStyle name="Итог 6 4 3" xfId="9890"/>
    <cellStyle name="Итог 6 4 3 2" xfId="9891"/>
    <cellStyle name="Итог 6 4 3 3" xfId="9892"/>
    <cellStyle name="Итог 6 4 3 4" xfId="9893"/>
    <cellStyle name="Итог 6 4 4" xfId="9894"/>
    <cellStyle name="Итог 6 4 5" xfId="9895"/>
    <cellStyle name="Итог 6 4 6" xfId="9896"/>
    <cellStyle name="Итог 6 40" xfId="9897"/>
    <cellStyle name="Итог 6 41" xfId="9898"/>
    <cellStyle name="Итог 6 42" xfId="9899"/>
    <cellStyle name="Итог 6 43" xfId="9900"/>
    <cellStyle name="Итог 6 44" xfId="9901"/>
    <cellStyle name="Итог 6 5" xfId="9902"/>
    <cellStyle name="Итог 6 5 2" xfId="9903"/>
    <cellStyle name="Итог 6 5 2 2" xfId="9904"/>
    <cellStyle name="Итог 6 5 2 3" xfId="9905"/>
    <cellStyle name="Итог 6 5 2 4" xfId="9906"/>
    <cellStyle name="Итог 6 5 3" xfId="9907"/>
    <cellStyle name="Итог 6 5 3 2" xfId="9908"/>
    <cellStyle name="Итог 6 5 3 3" xfId="9909"/>
    <cellStyle name="Итог 6 5 3 4" xfId="9910"/>
    <cellStyle name="Итог 6 5 4" xfId="9911"/>
    <cellStyle name="Итог 6 5 5" xfId="9912"/>
    <cellStyle name="Итог 6 5 6" xfId="9913"/>
    <cellStyle name="Итог 6 6" xfId="9914"/>
    <cellStyle name="Итог 6 6 2" xfId="9915"/>
    <cellStyle name="Итог 6 6 2 2" xfId="9916"/>
    <cellStyle name="Итог 6 6 2 3" xfId="9917"/>
    <cellStyle name="Итог 6 6 2 4" xfId="9918"/>
    <cellStyle name="Итог 6 6 3" xfId="9919"/>
    <cellStyle name="Итог 6 6 3 2" xfId="9920"/>
    <cellStyle name="Итог 6 6 3 3" xfId="9921"/>
    <cellStyle name="Итог 6 6 3 4" xfId="9922"/>
    <cellStyle name="Итог 6 6 4" xfId="9923"/>
    <cellStyle name="Итог 6 6 5" xfId="9924"/>
    <cellStyle name="Итог 6 6 6" xfId="9925"/>
    <cellStyle name="Итог 6 7" xfId="9926"/>
    <cellStyle name="Итог 6 7 2" xfId="9927"/>
    <cellStyle name="Итог 6 7 3" xfId="9928"/>
    <cellStyle name="Итог 6 7 4" xfId="9929"/>
    <cellStyle name="Итог 6 8" xfId="9930"/>
    <cellStyle name="Итог 6 8 2" xfId="9931"/>
    <cellStyle name="Итог 6 8 3" xfId="9932"/>
    <cellStyle name="Итог 6 8 4" xfId="9933"/>
    <cellStyle name="Итог 6 9" xfId="9934"/>
    <cellStyle name="Итог 6_46EE.2011(v1.0)" xfId="9935"/>
    <cellStyle name="Итог 7" xfId="9936"/>
    <cellStyle name="Итог 7 10" xfId="9937"/>
    <cellStyle name="Итог 7 11" xfId="9938"/>
    <cellStyle name="Итог 7 12" xfId="9939"/>
    <cellStyle name="Итог 7 13" xfId="9940"/>
    <cellStyle name="Итог 7 14" xfId="9941"/>
    <cellStyle name="Итог 7 15" xfId="9942"/>
    <cellStyle name="Итог 7 16" xfId="9943"/>
    <cellStyle name="Итог 7 17" xfId="9944"/>
    <cellStyle name="Итог 7 18" xfId="9945"/>
    <cellStyle name="Итог 7 19" xfId="9946"/>
    <cellStyle name="Итог 7 2" xfId="9947"/>
    <cellStyle name="Итог 7 2 10" xfId="9948"/>
    <cellStyle name="Итог 7 2 2" xfId="9949"/>
    <cellStyle name="Итог 7 2 2 2" xfId="9950"/>
    <cellStyle name="Итог 7 2 2 2 2" xfId="9951"/>
    <cellStyle name="Итог 7 2 2 2 3" xfId="9952"/>
    <cellStyle name="Итог 7 2 2 2 4" xfId="9953"/>
    <cellStyle name="Итог 7 2 2 3" xfId="9954"/>
    <cellStyle name="Итог 7 2 2 3 2" xfId="9955"/>
    <cellStyle name="Итог 7 2 2 3 3" xfId="9956"/>
    <cellStyle name="Итог 7 2 2 3 4" xfId="9957"/>
    <cellStyle name="Итог 7 2 2 4" xfId="9958"/>
    <cellStyle name="Итог 7 2 2 5" xfId="9959"/>
    <cellStyle name="Итог 7 2 2 6" xfId="9960"/>
    <cellStyle name="Итог 7 2 3" xfId="9961"/>
    <cellStyle name="Итог 7 2 3 2" xfId="9962"/>
    <cellStyle name="Итог 7 2 3 2 2" xfId="9963"/>
    <cellStyle name="Итог 7 2 3 2 3" xfId="9964"/>
    <cellStyle name="Итог 7 2 3 2 4" xfId="9965"/>
    <cellStyle name="Итог 7 2 3 3" xfId="9966"/>
    <cellStyle name="Итог 7 2 3 3 2" xfId="9967"/>
    <cellStyle name="Итог 7 2 3 3 3" xfId="9968"/>
    <cellStyle name="Итог 7 2 3 3 4" xfId="9969"/>
    <cellStyle name="Итог 7 2 3 4" xfId="9970"/>
    <cellStyle name="Итог 7 2 3 5" xfId="9971"/>
    <cellStyle name="Итог 7 2 3 6" xfId="9972"/>
    <cellStyle name="Итог 7 2 4" xfId="9973"/>
    <cellStyle name="Итог 7 2 4 2" xfId="9974"/>
    <cellStyle name="Итог 7 2 4 2 2" xfId="9975"/>
    <cellStyle name="Итог 7 2 4 2 3" xfId="9976"/>
    <cellStyle name="Итог 7 2 4 2 4" xfId="9977"/>
    <cellStyle name="Итог 7 2 4 3" xfId="9978"/>
    <cellStyle name="Итог 7 2 4 3 2" xfId="9979"/>
    <cellStyle name="Итог 7 2 4 3 3" xfId="9980"/>
    <cellStyle name="Итог 7 2 4 3 4" xfId="9981"/>
    <cellStyle name="Итог 7 2 4 4" xfId="9982"/>
    <cellStyle name="Итог 7 2 4 5" xfId="9983"/>
    <cellStyle name="Итог 7 2 4 6" xfId="9984"/>
    <cellStyle name="Итог 7 2 5" xfId="9985"/>
    <cellStyle name="Итог 7 2 5 2" xfId="9986"/>
    <cellStyle name="Итог 7 2 5 2 2" xfId="9987"/>
    <cellStyle name="Итог 7 2 5 2 3" xfId="9988"/>
    <cellStyle name="Итог 7 2 5 2 4" xfId="9989"/>
    <cellStyle name="Итог 7 2 5 3" xfId="9990"/>
    <cellStyle name="Итог 7 2 5 3 2" xfId="9991"/>
    <cellStyle name="Итог 7 2 5 3 3" xfId="9992"/>
    <cellStyle name="Итог 7 2 5 3 4" xfId="9993"/>
    <cellStyle name="Итог 7 2 5 4" xfId="9994"/>
    <cellStyle name="Итог 7 2 5 5" xfId="9995"/>
    <cellStyle name="Итог 7 2 5 6" xfId="9996"/>
    <cellStyle name="Итог 7 2 6" xfId="9997"/>
    <cellStyle name="Итог 7 2 6 2" xfId="9998"/>
    <cellStyle name="Итог 7 2 6 3" xfId="9999"/>
    <cellStyle name="Итог 7 2 6 4" xfId="10000"/>
    <cellStyle name="Итог 7 2 7" xfId="10001"/>
    <cellStyle name="Итог 7 2 7 2" xfId="10002"/>
    <cellStyle name="Итог 7 2 7 3" xfId="10003"/>
    <cellStyle name="Итог 7 2 7 4" xfId="10004"/>
    <cellStyle name="Итог 7 2 8" xfId="10005"/>
    <cellStyle name="Итог 7 2 9" xfId="10006"/>
    <cellStyle name="Итог 7 20" xfId="10007"/>
    <cellStyle name="Итог 7 21" xfId="10008"/>
    <cellStyle name="Итог 7 22" xfId="10009"/>
    <cellStyle name="Итог 7 23" xfId="10010"/>
    <cellStyle name="Итог 7 24" xfId="10011"/>
    <cellStyle name="Итог 7 25" xfId="10012"/>
    <cellStyle name="Итог 7 26" xfId="10013"/>
    <cellStyle name="Итог 7 27" xfId="10014"/>
    <cellStyle name="Итог 7 28" xfId="10015"/>
    <cellStyle name="Итог 7 29" xfId="10016"/>
    <cellStyle name="Итог 7 3" xfId="10017"/>
    <cellStyle name="Итог 7 3 2" xfId="10018"/>
    <cellStyle name="Итог 7 3 2 2" xfId="10019"/>
    <cellStyle name="Итог 7 3 2 3" xfId="10020"/>
    <cellStyle name="Итог 7 3 2 4" xfId="10021"/>
    <cellStyle name="Итог 7 3 3" xfId="10022"/>
    <cellStyle name="Итог 7 3 3 2" xfId="10023"/>
    <cellStyle name="Итог 7 3 3 3" xfId="10024"/>
    <cellStyle name="Итог 7 3 3 4" xfId="10025"/>
    <cellStyle name="Итог 7 3 4" xfId="10026"/>
    <cellStyle name="Итог 7 3 5" xfId="10027"/>
    <cellStyle name="Итог 7 3 6" xfId="10028"/>
    <cellStyle name="Итог 7 30" xfId="10029"/>
    <cellStyle name="Итог 7 31" xfId="10030"/>
    <cellStyle name="Итог 7 32" xfId="10031"/>
    <cellStyle name="Итог 7 33" xfId="10032"/>
    <cellStyle name="Итог 7 34" xfId="10033"/>
    <cellStyle name="Итог 7 35" xfId="10034"/>
    <cellStyle name="Итог 7 36" xfId="10035"/>
    <cellStyle name="Итог 7 37" xfId="10036"/>
    <cellStyle name="Итог 7 38" xfId="10037"/>
    <cellStyle name="Итог 7 39" xfId="10038"/>
    <cellStyle name="Итог 7 4" xfId="10039"/>
    <cellStyle name="Итог 7 4 2" xfId="10040"/>
    <cellStyle name="Итог 7 4 2 2" xfId="10041"/>
    <cellStyle name="Итог 7 4 2 3" xfId="10042"/>
    <cellStyle name="Итог 7 4 2 4" xfId="10043"/>
    <cellStyle name="Итог 7 4 3" xfId="10044"/>
    <cellStyle name="Итог 7 4 3 2" xfId="10045"/>
    <cellStyle name="Итог 7 4 3 3" xfId="10046"/>
    <cellStyle name="Итог 7 4 3 4" xfId="10047"/>
    <cellStyle name="Итог 7 4 4" xfId="10048"/>
    <cellStyle name="Итог 7 4 5" xfId="10049"/>
    <cellStyle name="Итог 7 4 6" xfId="10050"/>
    <cellStyle name="Итог 7 40" xfId="10051"/>
    <cellStyle name="Итог 7 41" xfId="10052"/>
    <cellStyle name="Итог 7 42" xfId="10053"/>
    <cellStyle name="Итог 7 43" xfId="10054"/>
    <cellStyle name="Итог 7 44" xfId="10055"/>
    <cellStyle name="Итог 7 5" xfId="10056"/>
    <cellStyle name="Итог 7 5 2" xfId="10057"/>
    <cellStyle name="Итог 7 5 2 2" xfId="10058"/>
    <cellStyle name="Итог 7 5 2 3" xfId="10059"/>
    <cellStyle name="Итог 7 5 2 4" xfId="10060"/>
    <cellStyle name="Итог 7 5 3" xfId="10061"/>
    <cellStyle name="Итог 7 5 3 2" xfId="10062"/>
    <cellStyle name="Итог 7 5 3 3" xfId="10063"/>
    <cellStyle name="Итог 7 5 3 4" xfId="10064"/>
    <cellStyle name="Итог 7 5 4" xfId="10065"/>
    <cellStyle name="Итог 7 5 5" xfId="10066"/>
    <cellStyle name="Итог 7 5 6" xfId="10067"/>
    <cellStyle name="Итог 7 6" xfId="10068"/>
    <cellStyle name="Итог 7 6 2" xfId="10069"/>
    <cellStyle name="Итог 7 6 2 2" xfId="10070"/>
    <cellStyle name="Итог 7 6 2 3" xfId="10071"/>
    <cellStyle name="Итог 7 6 2 4" xfId="10072"/>
    <cellStyle name="Итог 7 6 3" xfId="10073"/>
    <cellStyle name="Итог 7 6 3 2" xfId="10074"/>
    <cellStyle name="Итог 7 6 3 3" xfId="10075"/>
    <cellStyle name="Итог 7 6 3 4" xfId="10076"/>
    <cellStyle name="Итог 7 6 4" xfId="10077"/>
    <cellStyle name="Итог 7 6 5" xfId="10078"/>
    <cellStyle name="Итог 7 6 6" xfId="10079"/>
    <cellStyle name="Итог 7 7" xfId="10080"/>
    <cellStyle name="Итог 7 7 2" xfId="10081"/>
    <cellStyle name="Итог 7 7 3" xfId="10082"/>
    <cellStyle name="Итог 7 7 4" xfId="10083"/>
    <cellStyle name="Итог 7 8" xfId="10084"/>
    <cellStyle name="Итог 7 8 2" xfId="10085"/>
    <cellStyle name="Итог 7 8 3" xfId="10086"/>
    <cellStyle name="Итог 7 8 4" xfId="10087"/>
    <cellStyle name="Итог 7 9" xfId="10088"/>
    <cellStyle name="Итог 7_46EE.2011(v1.0)" xfId="10089"/>
    <cellStyle name="Итог 8" xfId="10090"/>
    <cellStyle name="Итог 8 10" xfId="10091"/>
    <cellStyle name="Итог 8 11" xfId="10092"/>
    <cellStyle name="Итог 8 2" xfId="10093"/>
    <cellStyle name="Итог 8 2 10" xfId="10094"/>
    <cellStyle name="Итог 8 2 2" xfId="10095"/>
    <cellStyle name="Итог 8 2 2 2" xfId="10096"/>
    <cellStyle name="Итог 8 2 2 2 2" xfId="10097"/>
    <cellStyle name="Итог 8 2 2 2 3" xfId="10098"/>
    <cellStyle name="Итог 8 2 2 2 4" xfId="10099"/>
    <cellStyle name="Итог 8 2 2 3" xfId="10100"/>
    <cellStyle name="Итог 8 2 2 3 2" xfId="10101"/>
    <cellStyle name="Итог 8 2 2 3 3" xfId="10102"/>
    <cellStyle name="Итог 8 2 2 3 4" xfId="10103"/>
    <cellStyle name="Итог 8 2 2 4" xfId="10104"/>
    <cellStyle name="Итог 8 2 2 5" xfId="10105"/>
    <cellStyle name="Итог 8 2 2 6" xfId="10106"/>
    <cellStyle name="Итог 8 2 3" xfId="10107"/>
    <cellStyle name="Итог 8 2 3 2" xfId="10108"/>
    <cellStyle name="Итог 8 2 3 2 2" xfId="10109"/>
    <cellStyle name="Итог 8 2 3 2 3" xfId="10110"/>
    <cellStyle name="Итог 8 2 3 2 4" xfId="10111"/>
    <cellStyle name="Итог 8 2 3 3" xfId="10112"/>
    <cellStyle name="Итог 8 2 3 3 2" xfId="10113"/>
    <cellStyle name="Итог 8 2 3 3 3" xfId="10114"/>
    <cellStyle name="Итог 8 2 3 3 4" xfId="10115"/>
    <cellStyle name="Итог 8 2 3 4" xfId="10116"/>
    <cellStyle name="Итог 8 2 3 5" xfId="10117"/>
    <cellStyle name="Итог 8 2 3 6" xfId="10118"/>
    <cellStyle name="Итог 8 2 4" xfId="10119"/>
    <cellStyle name="Итог 8 2 4 2" xfId="10120"/>
    <cellStyle name="Итог 8 2 4 2 2" xfId="10121"/>
    <cellStyle name="Итог 8 2 4 2 3" xfId="10122"/>
    <cellStyle name="Итог 8 2 4 2 4" xfId="10123"/>
    <cellStyle name="Итог 8 2 4 3" xfId="10124"/>
    <cellStyle name="Итог 8 2 4 3 2" xfId="10125"/>
    <cellStyle name="Итог 8 2 4 3 3" xfId="10126"/>
    <cellStyle name="Итог 8 2 4 3 4" xfId="10127"/>
    <cellStyle name="Итог 8 2 4 4" xfId="10128"/>
    <cellStyle name="Итог 8 2 4 5" xfId="10129"/>
    <cellStyle name="Итог 8 2 4 6" xfId="10130"/>
    <cellStyle name="Итог 8 2 5" xfId="10131"/>
    <cellStyle name="Итог 8 2 5 2" xfId="10132"/>
    <cellStyle name="Итог 8 2 5 2 2" xfId="10133"/>
    <cellStyle name="Итог 8 2 5 2 3" xfId="10134"/>
    <cellStyle name="Итог 8 2 5 2 4" xfId="10135"/>
    <cellStyle name="Итог 8 2 5 3" xfId="10136"/>
    <cellStyle name="Итог 8 2 5 3 2" xfId="10137"/>
    <cellStyle name="Итог 8 2 5 3 3" xfId="10138"/>
    <cellStyle name="Итог 8 2 5 3 4" xfId="10139"/>
    <cellStyle name="Итог 8 2 5 4" xfId="10140"/>
    <cellStyle name="Итог 8 2 5 5" xfId="10141"/>
    <cellStyle name="Итог 8 2 5 6" xfId="10142"/>
    <cellStyle name="Итог 8 2 6" xfId="10143"/>
    <cellStyle name="Итог 8 2 6 2" xfId="10144"/>
    <cellStyle name="Итог 8 2 6 3" xfId="10145"/>
    <cellStyle name="Итог 8 2 6 4" xfId="10146"/>
    <cellStyle name="Итог 8 2 7" xfId="10147"/>
    <cellStyle name="Итог 8 2 7 2" xfId="10148"/>
    <cellStyle name="Итог 8 2 7 3" xfId="10149"/>
    <cellStyle name="Итог 8 2 7 4" xfId="10150"/>
    <cellStyle name="Итог 8 2 8" xfId="10151"/>
    <cellStyle name="Итог 8 2 9" xfId="10152"/>
    <cellStyle name="Итог 8 3" xfId="10153"/>
    <cellStyle name="Итог 8 3 2" xfId="10154"/>
    <cellStyle name="Итог 8 3 2 2" xfId="10155"/>
    <cellStyle name="Итог 8 3 2 3" xfId="10156"/>
    <cellStyle name="Итог 8 3 2 4" xfId="10157"/>
    <cellStyle name="Итог 8 3 3" xfId="10158"/>
    <cellStyle name="Итог 8 3 3 2" xfId="10159"/>
    <cellStyle name="Итог 8 3 3 3" xfId="10160"/>
    <cellStyle name="Итог 8 3 3 4" xfId="10161"/>
    <cellStyle name="Итог 8 3 4" xfId="10162"/>
    <cellStyle name="Итог 8 3 5" xfId="10163"/>
    <cellStyle name="Итог 8 3 6" xfId="10164"/>
    <cellStyle name="Итог 8 4" xfId="10165"/>
    <cellStyle name="Итог 8 4 2" xfId="10166"/>
    <cellStyle name="Итог 8 4 2 2" xfId="10167"/>
    <cellStyle name="Итог 8 4 2 3" xfId="10168"/>
    <cellStyle name="Итог 8 4 2 4" xfId="10169"/>
    <cellStyle name="Итог 8 4 3" xfId="10170"/>
    <cellStyle name="Итог 8 4 3 2" xfId="10171"/>
    <cellStyle name="Итог 8 4 3 3" xfId="10172"/>
    <cellStyle name="Итог 8 4 3 4" xfId="10173"/>
    <cellStyle name="Итог 8 4 4" xfId="10174"/>
    <cellStyle name="Итог 8 4 5" xfId="10175"/>
    <cellStyle name="Итог 8 4 6" xfId="10176"/>
    <cellStyle name="Итог 8 5" xfId="10177"/>
    <cellStyle name="Итог 8 5 2" xfId="10178"/>
    <cellStyle name="Итог 8 5 2 2" xfId="10179"/>
    <cellStyle name="Итог 8 5 2 3" xfId="10180"/>
    <cellStyle name="Итог 8 5 2 4" xfId="10181"/>
    <cellStyle name="Итог 8 5 3" xfId="10182"/>
    <cellStyle name="Итог 8 5 3 2" xfId="10183"/>
    <cellStyle name="Итог 8 5 3 3" xfId="10184"/>
    <cellStyle name="Итог 8 5 3 4" xfId="10185"/>
    <cellStyle name="Итог 8 5 4" xfId="10186"/>
    <cellStyle name="Итог 8 5 5" xfId="10187"/>
    <cellStyle name="Итог 8 5 6" xfId="10188"/>
    <cellStyle name="Итог 8 6" xfId="10189"/>
    <cellStyle name="Итог 8 6 2" xfId="10190"/>
    <cellStyle name="Итог 8 6 2 2" xfId="10191"/>
    <cellStyle name="Итог 8 6 2 3" xfId="10192"/>
    <cellStyle name="Итог 8 6 2 4" xfId="10193"/>
    <cellStyle name="Итог 8 6 3" xfId="10194"/>
    <cellStyle name="Итог 8 6 3 2" xfId="10195"/>
    <cellStyle name="Итог 8 6 3 3" xfId="10196"/>
    <cellStyle name="Итог 8 6 3 4" xfId="10197"/>
    <cellStyle name="Итог 8 6 4" xfId="10198"/>
    <cellStyle name="Итог 8 6 5" xfId="10199"/>
    <cellStyle name="Итог 8 6 6" xfId="10200"/>
    <cellStyle name="Итог 8 7" xfId="10201"/>
    <cellStyle name="Итог 8 7 2" xfId="10202"/>
    <cellStyle name="Итог 8 7 3" xfId="10203"/>
    <cellStyle name="Итог 8 7 4" xfId="10204"/>
    <cellStyle name="Итог 8 8" xfId="10205"/>
    <cellStyle name="Итог 8 8 2" xfId="10206"/>
    <cellStyle name="Итог 8 8 3" xfId="10207"/>
    <cellStyle name="Итог 8 8 4" xfId="10208"/>
    <cellStyle name="Итог 8 9" xfId="10209"/>
    <cellStyle name="Итог 8_46EE.2011(v1.0)" xfId="10210"/>
    <cellStyle name="Итог 9" xfId="10211"/>
    <cellStyle name="Итог 9 10" xfId="10212"/>
    <cellStyle name="Итог 9 11" xfId="10213"/>
    <cellStyle name="Итог 9 2" xfId="10214"/>
    <cellStyle name="Итог 9 2 10" xfId="10215"/>
    <cellStyle name="Итог 9 2 2" xfId="10216"/>
    <cellStyle name="Итог 9 2 2 2" xfId="10217"/>
    <cellStyle name="Итог 9 2 2 2 2" xfId="10218"/>
    <cellStyle name="Итог 9 2 2 2 3" xfId="10219"/>
    <cellStyle name="Итог 9 2 2 2 4" xfId="10220"/>
    <cellStyle name="Итог 9 2 2 3" xfId="10221"/>
    <cellStyle name="Итог 9 2 2 3 2" xfId="10222"/>
    <cellStyle name="Итог 9 2 2 3 3" xfId="10223"/>
    <cellStyle name="Итог 9 2 2 3 4" xfId="10224"/>
    <cellStyle name="Итог 9 2 2 4" xfId="10225"/>
    <cellStyle name="Итог 9 2 2 5" xfId="10226"/>
    <cellStyle name="Итог 9 2 2 6" xfId="10227"/>
    <cellStyle name="Итог 9 2 3" xfId="10228"/>
    <cellStyle name="Итог 9 2 3 2" xfId="10229"/>
    <cellStyle name="Итог 9 2 3 2 2" xfId="10230"/>
    <cellStyle name="Итог 9 2 3 2 3" xfId="10231"/>
    <cellStyle name="Итог 9 2 3 2 4" xfId="10232"/>
    <cellStyle name="Итог 9 2 3 3" xfId="10233"/>
    <cellStyle name="Итог 9 2 3 3 2" xfId="10234"/>
    <cellStyle name="Итог 9 2 3 3 3" xfId="10235"/>
    <cellStyle name="Итог 9 2 3 3 4" xfId="10236"/>
    <cellStyle name="Итог 9 2 3 4" xfId="10237"/>
    <cellStyle name="Итог 9 2 3 5" xfId="10238"/>
    <cellStyle name="Итог 9 2 3 6" xfId="10239"/>
    <cellStyle name="Итог 9 2 4" xfId="10240"/>
    <cellStyle name="Итог 9 2 4 2" xfId="10241"/>
    <cellStyle name="Итог 9 2 4 2 2" xfId="10242"/>
    <cellStyle name="Итог 9 2 4 2 3" xfId="10243"/>
    <cellStyle name="Итог 9 2 4 2 4" xfId="10244"/>
    <cellStyle name="Итог 9 2 4 3" xfId="10245"/>
    <cellStyle name="Итог 9 2 4 3 2" xfId="10246"/>
    <cellStyle name="Итог 9 2 4 3 3" xfId="10247"/>
    <cellStyle name="Итог 9 2 4 3 4" xfId="10248"/>
    <cellStyle name="Итог 9 2 4 4" xfId="10249"/>
    <cellStyle name="Итог 9 2 4 5" xfId="10250"/>
    <cellStyle name="Итог 9 2 4 6" xfId="10251"/>
    <cellStyle name="Итог 9 2 5" xfId="10252"/>
    <cellStyle name="Итог 9 2 5 2" xfId="10253"/>
    <cellStyle name="Итог 9 2 5 2 2" xfId="10254"/>
    <cellStyle name="Итог 9 2 5 2 3" xfId="10255"/>
    <cellStyle name="Итог 9 2 5 2 4" xfId="10256"/>
    <cellStyle name="Итог 9 2 5 3" xfId="10257"/>
    <cellStyle name="Итог 9 2 5 3 2" xfId="10258"/>
    <cellStyle name="Итог 9 2 5 3 3" xfId="10259"/>
    <cellStyle name="Итог 9 2 5 3 4" xfId="10260"/>
    <cellStyle name="Итог 9 2 5 4" xfId="10261"/>
    <cellStyle name="Итог 9 2 5 5" xfId="10262"/>
    <cellStyle name="Итог 9 2 5 6" xfId="10263"/>
    <cellStyle name="Итог 9 2 6" xfId="10264"/>
    <cellStyle name="Итог 9 2 6 2" xfId="10265"/>
    <cellStyle name="Итог 9 2 6 3" xfId="10266"/>
    <cellStyle name="Итог 9 2 6 4" xfId="10267"/>
    <cellStyle name="Итог 9 2 7" xfId="10268"/>
    <cellStyle name="Итог 9 2 7 2" xfId="10269"/>
    <cellStyle name="Итог 9 2 7 3" xfId="10270"/>
    <cellStyle name="Итог 9 2 7 4" xfId="10271"/>
    <cellStyle name="Итог 9 2 8" xfId="10272"/>
    <cellStyle name="Итог 9 2 9" xfId="10273"/>
    <cellStyle name="Итог 9 3" xfId="10274"/>
    <cellStyle name="Итог 9 3 2" xfId="10275"/>
    <cellStyle name="Итог 9 3 2 2" xfId="10276"/>
    <cellStyle name="Итог 9 3 2 3" xfId="10277"/>
    <cellStyle name="Итог 9 3 2 4" xfId="10278"/>
    <cellStyle name="Итог 9 3 3" xfId="10279"/>
    <cellStyle name="Итог 9 3 3 2" xfId="10280"/>
    <cellStyle name="Итог 9 3 3 3" xfId="10281"/>
    <cellStyle name="Итог 9 3 3 4" xfId="10282"/>
    <cellStyle name="Итог 9 3 4" xfId="10283"/>
    <cellStyle name="Итог 9 3 5" xfId="10284"/>
    <cellStyle name="Итог 9 3 6" xfId="10285"/>
    <cellStyle name="Итог 9 4" xfId="10286"/>
    <cellStyle name="Итог 9 4 2" xfId="10287"/>
    <cellStyle name="Итог 9 4 2 2" xfId="10288"/>
    <cellStyle name="Итог 9 4 2 3" xfId="10289"/>
    <cellStyle name="Итог 9 4 2 4" xfId="10290"/>
    <cellStyle name="Итог 9 4 3" xfId="10291"/>
    <cellStyle name="Итог 9 4 3 2" xfId="10292"/>
    <cellStyle name="Итог 9 4 3 3" xfId="10293"/>
    <cellStyle name="Итог 9 4 3 4" xfId="10294"/>
    <cellStyle name="Итог 9 4 4" xfId="10295"/>
    <cellStyle name="Итог 9 4 5" xfId="10296"/>
    <cellStyle name="Итог 9 4 6" xfId="10297"/>
    <cellStyle name="Итог 9 5" xfId="10298"/>
    <cellStyle name="Итог 9 5 2" xfId="10299"/>
    <cellStyle name="Итог 9 5 2 2" xfId="10300"/>
    <cellStyle name="Итог 9 5 2 3" xfId="10301"/>
    <cellStyle name="Итог 9 5 2 4" xfId="10302"/>
    <cellStyle name="Итог 9 5 3" xfId="10303"/>
    <cellStyle name="Итог 9 5 3 2" xfId="10304"/>
    <cellStyle name="Итог 9 5 3 3" xfId="10305"/>
    <cellStyle name="Итог 9 5 3 4" xfId="10306"/>
    <cellStyle name="Итог 9 5 4" xfId="10307"/>
    <cellStyle name="Итог 9 5 5" xfId="10308"/>
    <cellStyle name="Итог 9 5 6" xfId="10309"/>
    <cellStyle name="Итог 9 6" xfId="10310"/>
    <cellStyle name="Итог 9 6 2" xfId="10311"/>
    <cellStyle name="Итог 9 6 2 2" xfId="10312"/>
    <cellStyle name="Итог 9 6 2 3" xfId="10313"/>
    <cellStyle name="Итог 9 6 2 4" xfId="10314"/>
    <cellStyle name="Итог 9 6 3" xfId="10315"/>
    <cellStyle name="Итог 9 6 3 2" xfId="10316"/>
    <cellStyle name="Итог 9 6 3 3" xfId="10317"/>
    <cellStyle name="Итог 9 6 3 4" xfId="10318"/>
    <cellStyle name="Итог 9 6 4" xfId="10319"/>
    <cellStyle name="Итог 9 6 5" xfId="10320"/>
    <cellStyle name="Итог 9 6 6" xfId="10321"/>
    <cellStyle name="Итог 9 7" xfId="10322"/>
    <cellStyle name="Итог 9 7 2" xfId="10323"/>
    <cellStyle name="Итог 9 7 3" xfId="10324"/>
    <cellStyle name="Итог 9 7 4" xfId="10325"/>
    <cellStyle name="Итог 9 8" xfId="10326"/>
    <cellStyle name="Итог 9 8 2" xfId="10327"/>
    <cellStyle name="Итог 9 8 3" xfId="10328"/>
    <cellStyle name="Итог 9 8 4" xfId="10329"/>
    <cellStyle name="Итог 9 9" xfId="10330"/>
    <cellStyle name="Итог 9_46EE.2011(v1.0)" xfId="10331"/>
    <cellStyle name="Итого" xfId="10332"/>
    <cellStyle name="Итого 2" xfId="10333"/>
    <cellStyle name="Итого 2 2" xfId="10334"/>
    <cellStyle name="Итого 2 2 2" xfId="10335"/>
    <cellStyle name="Итого 2 2 3" xfId="10336"/>
    <cellStyle name="Итого 2 2 4" xfId="10337"/>
    <cellStyle name="Итого 2 3" xfId="10338"/>
    <cellStyle name="Итого 2 4" xfId="10339"/>
    <cellStyle name="Итого 2 5" xfId="10340"/>
    <cellStyle name="Итого 3" xfId="10341"/>
    <cellStyle name="Итого 3 2" xfId="10342"/>
    <cellStyle name="Итого 3 2 2" xfId="10343"/>
    <cellStyle name="Итого 3 2 3" xfId="10344"/>
    <cellStyle name="Итого 3 2 4" xfId="10345"/>
    <cellStyle name="Итого 3 3" xfId="10346"/>
    <cellStyle name="Итого 3 4" xfId="10347"/>
    <cellStyle name="Итого 3 5" xfId="10348"/>
    <cellStyle name="Итого 4" xfId="10349"/>
    <cellStyle name="Итого 4 2" xfId="10350"/>
    <cellStyle name="Итого 4 2 2" xfId="10351"/>
    <cellStyle name="Итого 4 2 3" xfId="10352"/>
    <cellStyle name="Итого 4 2 4" xfId="10353"/>
    <cellStyle name="Итого 4 3" xfId="10354"/>
    <cellStyle name="Итого 4 4" xfId="10355"/>
    <cellStyle name="Итого 4 5" xfId="10356"/>
    <cellStyle name="Итого 5" xfId="10357"/>
    <cellStyle name="Итого 5 2" xfId="10358"/>
    <cellStyle name="Итого 5 3" xfId="10359"/>
    <cellStyle name="Итого 5 4" xfId="10360"/>
    <cellStyle name="Итого 6" xfId="10361"/>
    <cellStyle name="Итого 7" xfId="10362"/>
    <cellStyle name="Итого 8" xfId="10363"/>
    <cellStyle name="ИТОГОВЫЙ" xfId="10364"/>
    <cellStyle name="ИТОГОВЫЙ 10" xfId="10365"/>
    <cellStyle name="ИТОГОВЫЙ 11" xfId="10366"/>
    <cellStyle name="ИТОГОВЫЙ 2" xfId="10367"/>
    <cellStyle name="ИТОГОВЫЙ 2 2" xfId="10368"/>
    <cellStyle name="ИТОГОВЫЙ 2 3" xfId="10369"/>
    <cellStyle name="ИТОГОВЫЙ 3" xfId="10370"/>
    <cellStyle name="ИТОГОВЫЙ 3 2" xfId="10371"/>
    <cellStyle name="ИТОГОВЫЙ 3 3" xfId="10372"/>
    <cellStyle name="ИТОГОВЫЙ 4" xfId="10373"/>
    <cellStyle name="ИТОГОВЫЙ 4 2" xfId="10374"/>
    <cellStyle name="ИТОГОВЫЙ 4 3" xfId="10375"/>
    <cellStyle name="ИТОГОВЫЙ 5" xfId="10376"/>
    <cellStyle name="ИТОГОВЫЙ 5 2" xfId="10377"/>
    <cellStyle name="ИТОГОВЫЙ 5 3" xfId="10378"/>
    <cellStyle name="ИТОГОВЫЙ 6" xfId="10379"/>
    <cellStyle name="ИТОГОВЫЙ 6 2" xfId="10380"/>
    <cellStyle name="ИТОГОВЫЙ 6 3" xfId="10381"/>
    <cellStyle name="ИТОГОВЫЙ 7" xfId="10382"/>
    <cellStyle name="ИТОГОВЫЙ 7 2" xfId="10383"/>
    <cellStyle name="ИТОГОВЫЙ 7 3" xfId="10384"/>
    <cellStyle name="ИТОГОВЫЙ 8" xfId="10385"/>
    <cellStyle name="ИТОГОВЫЙ 8 2" xfId="10386"/>
    <cellStyle name="ИТОГОВЫЙ 8 3" xfId="10387"/>
    <cellStyle name="ИТОГОВЫЙ 9" xfId="10388"/>
    <cellStyle name="ИТОГОВЫЙ 9 2" xfId="10389"/>
    <cellStyle name="ИТОГОВЫЙ 9 3" xfId="10390"/>
    <cellStyle name="ИТОГОВЫЙ_1" xfId="10391"/>
    <cellStyle name="їўычный_balance_y" xfId="10392"/>
    <cellStyle name="Код строки" xfId="10393"/>
    <cellStyle name="Код строки 2" xfId="10394"/>
    <cellStyle name="Код строки 3" xfId="10395"/>
    <cellStyle name="Контрагенты 4" xfId="10396"/>
    <cellStyle name="Контрагенты 4 2" xfId="10397"/>
    <cellStyle name="Контрагенты 4 3" xfId="10398"/>
    <cellStyle name="Контрольная ячейка 10" xfId="10399"/>
    <cellStyle name="Контрольная ячейка 2" xfId="10400"/>
    <cellStyle name="Контрольная ячейка 2 2" xfId="10401"/>
    <cellStyle name="Контрольная ячейка 2_46EE.2011(v1.0)" xfId="10402"/>
    <cellStyle name="Контрольная ячейка 3" xfId="10403"/>
    <cellStyle name="Контрольная ячейка 3 2" xfId="10404"/>
    <cellStyle name="Контрольная ячейка 3_46EE.2011(v1.0)" xfId="10405"/>
    <cellStyle name="Контрольная ячейка 4" xfId="10406"/>
    <cellStyle name="Контрольная ячейка 4 2" xfId="10407"/>
    <cellStyle name="Контрольная ячейка 4_46EE.2011(v1.0)" xfId="10408"/>
    <cellStyle name="Контрольная ячейка 5" xfId="10409"/>
    <cellStyle name="Контрольная ячейка 5 2" xfId="10410"/>
    <cellStyle name="Контрольная ячейка 5_46EE.2011(v1.0)" xfId="10411"/>
    <cellStyle name="Контрольная ячейка 6" xfId="10412"/>
    <cellStyle name="Контрольная ячейка 6 2" xfId="10413"/>
    <cellStyle name="Контрольная ячейка 6_46EE.2011(v1.0)" xfId="10414"/>
    <cellStyle name="Контрольная ячейка 7" xfId="10415"/>
    <cellStyle name="Контрольная ячейка 7 2" xfId="10416"/>
    <cellStyle name="Контрольная ячейка 7_46EE.2011(v1.0)" xfId="10417"/>
    <cellStyle name="Контрольная ячейка 8" xfId="10418"/>
    <cellStyle name="Контрольная ячейка 8 2" xfId="10419"/>
    <cellStyle name="Контрольная ячейка 8_46EE.2011(v1.0)" xfId="10420"/>
    <cellStyle name="Контрольная ячейка 9" xfId="10421"/>
    <cellStyle name="Контрольная ячейка 9 2" xfId="10422"/>
    <cellStyle name="Контрольная ячейка 9_46EE.2011(v1.0)" xfId="10423"/>
    <cellStyle name="Миша (бланки отчетности)" xfId="10424"/>
    <cellStyle name="Мои наименования показателей" xfId="10428"/>
    <cellStyle name="Мои наименования показателей 10" xfId="10429"/>
    <cellStyle name="Мои наименования показателей 11" xfId="10430"/>
    <cellStyle name="Мои наименования показателей 2" xfId="10431"/>
    <cellStyle name="Мои наименования показателей 2 2" xfId="10432"/>
    <cellStyle name="Мои наименования показателей 2 3" xfId="10433"/>
    <cellStyle name="Мои наименования показателей 2 4" xfId="10434"/>
    <cellStyle name="Мои наименования показателей 2 5" xfId="10435"/>
    <cellStyle name="Мои наименования показателей 2 6" xfId="10436"/>
    <cellStyle name="Мои наименования показателей 2 7" xfId="10437"/>
    <cellStyle name="Мои наименования показателей 2 8" xfId="10438"/>
    <cellStyle name="Мои наименования показателей 2 9" xfId="10439"/>
    <cellStyle name="Мои наименования показателей 2_1" xfId="10440"/>
    <cellStyle name="Мои наименования показателей 3" xfId="10441"/>
    <cellStyle name="Мои наименования показателей 3 2" xfId="10442"/>
    <cellStyle name="Мои наименования показателей 3 3" xfId="10443"/>
    <cellStyle name="Мои наименования показателей 3 4" xfId="10444"/>
    <cellStyle name="Мои наименования показателей 3 5" xfId="10445"/>
    <cellStyle name="Мои наименования показателей 3 6" xfId="10446"/>
    <cellStyle name="Мои наименования показателей 3 7" xfId="10447"/>
    <cellStyle name="Мои наименования показателей 3 8" xfId="10448"/>
    <cellStyle name="Мои наименования показателей 3 9" xfId="10449"/>
    <cellStyle name="Мои наименования показателей 3_1" xfId="10450"/>
    <cellStyle name="Мои наименования показателей 4" xfId="10451"/>
    <cellStyle name="Мои наименования показателей 4 2" xfId="10452"/>
    <cellStyle name="Мои наименования показателей 4 3" xfId="10453"/>
    <cellStyle name="Мои наименования показателей 4 4" xfId="10454"/>
    <cellStyle name="Мои наименования показателей 4 5" xfId="10455"/>
    <cellStyle name="Мои наименования показателей 4 6" xfId="10456"/>
    <cellStyle name="Мои наименования показателей 4 7" xfId="10457"/>
    <cellStyle name="Мои наименования показателей 4 8" xfId="10458"/>
    <cellStyle name="Мои наименования показателей 4 9" xfId="10459"/>
    <cellStyle name="Мои наименования показателей 4_1" xfId="10460"/>
    <cellStyle name="Мои наименования показателей 5" xfId="10461"/>
    <cellStyle name="Мои наименования показателей 5 2" xfId="10462"/>
    <cellStyle name="Мои наименования показателей 5 3" xfId="10463"/>
    <cellStyle name="Мои наименования показателей 5 4" xfId="10464"/>
    <cellStyle name="Мои наименования показателей 5 5" xfId="10465"/>
    <cellStyle name="Мои наименования показателей 5 6" xfId="10466"/>
    <cellStyle name="Мои наименования показателей 5 7" xfId="10467"/>
    <cellStyle name="Мои наименования показателей 5 8" xfId="10468"/>
    <cellStyle name="Мои наименования показателей 5 9" xfId="10469"/>
    <cellStyle name="Мои наименования показателей 5_1" xfId="10470"/>
    <cellStyle name="Мои наименования показателей 6" xfId="10471"/>
    <cellStyle name="Мои наименования показателей 6 2" xfId="10472"/>
    <cellStyle name="Мои наименования показателей 6 3" xfId="10473"/>
    <cellStyle name="Мои наименования показателей 6_46EE.2011(v1.0)" xfId="10474"/>
    <cellStyle name="Мои наименования показателей 7" xfId="10475"/>
    <cellStyle name="Мои наименования показателей 7 2" xfId="10476"/>
    <cellStyle name="Мои наименования показателей 7 3" xfId="10477"/>
    <cellStyle name="Мои наименования показателей 7_46EE.2011(v1.0)" xfId="10478"/>
    <cellStyle name="Мои наименования показателей 8" xfId="10479"/>
    <cellStyle name="Мои наименования показателей 8 2" xfId="10480"/>
    <cellStyle name="Мои наименования показателей 8 3" xfId="10481"/>
    <cellStyle name="Мои наименования показателей 8_46EE.2011(v1.0)" xfId="10482"/>
    <cellStyle name="Мои наименования показателей 9" xfId="10483"/>
    <cellStyle name="Мои наименования показателей_46EE.2011" xfId="10484"/>
    <cellStyle name="Мой заголовок" xfId="10425"/>
    <cellStyle name="Мой заголовок листа" xfId="10426"/>
    <cellStyle name="Мой заголовок_Новая инструкция1_фст" xfId="10427"/>
    <cellStyle name="назв фил" xfId="10485"/>
    <cellStyle name="назв фил 2" xfId="10486"/>
    <cellStyle name="назв фил 2 2" xfId="10487"/>
    <cellStyle name="назв фил 2 2 2" xfId="10488"/>
    <cellStyle name="назв фил 2 2 3" xfId="10489"/>
    <cellStyle name="назв фил 2 2 4" xfId="10490"/>
    <cellStyle name="назв фил 2 3" xfId="10491"/>
    <cellStyle name="назв фил 2 4" xfId="10492"/>
    <cellStyle name="назв фил 2 5" xfId="10493"/>
    <cellStyle name="назв фил 3" xfId="10494"/>
    <cellStyle name="назв фил 3 2" xfId="10495"/>
    <cellStyle name="назв фил 3 2 2" xfId="10496"/>
    <cellStyle name="назв фил 3 2 3" xfId="10497"/>
    <cellStyle name="назв фил 3 2 4" xfId="10498"/>
    <cellStyle name="назв фил 3 3" xfId="10499"/>
    <cellStyle name="назв фил 3 4" xfId="10500"/>
    <cellStyle name="назв фил 3 5" xfId="10501"/>
    <cellStyle name="назв фил 4" xfId="10502"/>
    <cellStyle name="назв фил 4 2" xfId="10503"/>
    <cellStyle name="назв фил 4 2 2" xfId="10504"/>
    <cellStyle name="назв фил 4 2 3" xfId="10505"/>
    <cellStyle name="назв фил 4 2 4" xfId="10506"/>
    <cellStyle name="назв фил 4 3" xfId="10507"/>
    <cellStyle name="назв фил 4 4" xfId="10508"/>
    <cellStyle name="назв фил 4 5" xfId="10509"/>
    <cellStyle name="назв фил 5" xfId="10510"/>
    <cellStyle name="назв фил 5 2" xfId="10511"/>
    <cellStyle name="назв фил 5 3" xfId="10512"/>
    <cellStyle name="назв фил 5 4" xfId="10513"/>
    <cellStyle name="назв фил 6" xfId="10514"/>
    <cellStyle name="назв фил 7" xfId="10515"/>
    <cellStyle name="назв фил 8" xfId="10516"/>
    <cellStyle name="Название 10" xfId="10517"/>
    <cellStyle name="Название 2" xfId="10518"/>
    <cellStyle name="Название 2 2" xfId="10519"/>
    <cellStyle name="Название 3" xfId="10520"/>
    <cellStyle name="Название 3 2" xfId="10521"/>
    <cellStyle name="Название 4" xfId="10522"/>
    <cellStyle name="Название 4 2" xfId="10523"/>
    <cellStyle name="Название 5" xfId="10524"/>
    <cellStyle name="Название 5 2" xfId="10525"/>
    <cellStyle name="Название 6" xfId="10526"/>
    <cellStyle name="Название 6 2" xfId="10527"/>
    <cellStyle name="Название 7" xfId="10528"/>
    <cellStyle name="Название 7 2" xfId="10529"/>
    <cellStyle name="Название 8" xfId="10530"/>
    <cellStyle name="Название 8 2" xfId="10531"/>
    <cellStyle name="Название 9" xfId="10532"/>
    <cellStyle name="Название 9 2" xfId="10533"/>
    <cellStyle name="Невидимый" xfId="10534"/>
    <cellStyle name="Нейтральный 10" xfId="10535"/>
    <cellStyle name="Нейтральный 2" xfId="10536"/>
    <cellStyle name="Нейтральный 2 2" xfId="10537"/>
    <cellStyle name="Нейтральный 3" xfId="10538"/>
    <cellStyle name="Нейтральный 3 2" xfId="10539"/>
    <cellStyle name="Нейтральный 4" xfId="10540"/>
    <cellStyle name="Нейтральный 4 2" xfId="10541"/>
    <cellStyle name="Нейтральный 5" xfId="10542"/>
    <cellStyle name="Нейтральный 5 2" xfId="10543"/>
    <cellStyle name="Нейтральный 6" xfId="10544"/>
    <cellStyle name="Нейтральный 6 2" xfId="10545"/>
    <cellStyle name="Нейтральный 7" xfId="10546"/>
    <cellStyle name="Нейтральный 7 2" xfId="10547"/>
    <cellStyle name="Нейтральный 8" xfId="10548"/>
    <cellStyle name="Нейтральный 8 2" xfId="10549"/>
    <cellStyle name="Нейтральный 9" xfId="10550"/>
    <cellStyle name="Нейтральный 9 2" xfId="10551"/>
    <cellStyle name="Низ1" xfId="10552"/>
    <cellStyle name="Низ1 2" xfId="10553"/>
    <cellStyle name="Низ1 2 2" xfId="10554"/>
    <cellStyle name="Низ1 2 2 2" xfId="10555"/>
    <cellStyle name="Низ1 2 2 3" xfId="10556"/>
    <cellStyle name="Низ1 2 2 4" xfId="10557"/>
    <cellStyle name="Низ1 2 3" xfId="10558"/>
    <cellStyle name="Низ1 2 4" xfId="10559"/>
    <cellStyle name="Низ1 2 5" xfId="10560"/>
    <cellStyle name="Низ1 3" xfId="10561"/>
    <cellStyle name="Низ1 3 2" xfId="10562"/>
    <cellStyle name="Низ1 3 2 2" xfId="10563"/>
    <cellStyle name="Низ1 3 2 3" xfId="10564"/>
    <cellStyle name="Низ1 3 2 4" xfId="10565"/>
    <cellStyle name="Низ1 3 3" xfId="10566"/>
    <cellStyle name="Низ1 3 4" xfId="10567"/>
    <cellStyle name="Низ1 3 5" xfId="10568"/>
    <cellStyle name="Низ1 4" xfId="10569"/>
    <cellStyle name="Низ1 4 2" xfId="10570"/>
    <cellStyle name="Низ1 4 2 2" xfId="10571"/>
    <cellStyle name="Низ1 4 2 3" xfId="10572"/>
    <cellStyle name="Низ1 4 2 4" xfId="10573"/>
    <cellStyle name="Низ1 4 3" xfId="10574"/>
    <cellStyle name="Низ1 4 4" xfId="10575"/>
    <cellStyle name="Низ1 4 5" xfId="10576"/>
    <cellStyle name="Низ1 5" xfId="10577"/>
    <cellStyle name="Низ1 5 2" xfId="10578"/>
    <cellStyle name="Низ1 5 3" xfId="10579"/>
    <cellStyle name="Низ1 5 4" xfId="10580"/>
    <cellStyle name="Низ1 6" xfId="10581"/>
    <cellStyle name="Низ1 7" xfId="10582"/>
    <cellStyle name="Низ1 8" xfId="10583"/>
    <cellStyle name="Низ2" xfId="10584"/>
    <cellStyle name="новый" xfId="10585"/>
    <cellStyle name="Обычный" xfId="0" builtinId="0"/>
    <cellStyle name="Обычный 10" xfId="10586"/>
    <cellStyle name="Обычный 10 2" xfId="10587"/>
    <cellStyle name="Обычный 10 2 2" xfId="10588"/>
    <cellStyle name="Обычный 10 2 2 2" xfId="10589"/>
    <cellStyle name="Обычный 10 2 2 2 2" xfId="10590"/>
    <cellStyle name="Обычный 10 2 2 2 3" xfId="10591"/>
    <cellStyle name="Обычный 10 2 2 3" xfId="10592"/>
    <cellStyle name="Обычный 10 2 2 4" xfId="10593"/>
    <cellStyle name="Обычный 10 2 2 5" xfId="10594"/>
    <cellStyle name="Обычный 10 2 3" xfId="10595"/>
    <cellStyle name="Обычный 10 2 3 2" xfId="10596"/>
    <cellStyle name="Обычный 10 2 3 2 2" xfId="10597"/>
    <cellStyle name="Обычный 10 2 3 2 3" xfId="10598"/>
    <cellStyle name="Обычный 10 2 3 3" xfId="10599"/>
    <cellStyle name="Обычный 10 2 3 4" xfId="10600"/>
    <cellStyle name="Обычный 10 2 3 5" xfId="10601"/>
    <cellStyle name="Обычный 10 2 4" xfId="10602"/>
    <cellStyle name="Обычный 10 2 4 2" xfId="10603"/>
    <cellStyle name="Обычный 10 2 4 3" xfId="10604"/>
    <cellStyle name="Обычный 10 2 5" xfId="10605"/>
    <cellStyle name="Обычный 10 2 6" xfId="10606"/>
    <cellStyle name="Обычный 10 2 7" xfId="10607"/>
    <cellStyle name="Обычный 10 3" xfId="10608"/>
    <cellStyle name="Обычный 10 4" xfId="10609"/>
    <cellStyle name="Обычный 10 4 2" xfId="10610"/>
    <cellStyle name="Обычный 10 4 2 2" xfId="10611"/>
    <cellStyle name="Обычный 10 4 2 3" xfId="10612"/>
    <cellStyle name="Обычный 10 4 3" xfId="10613"/>
    <cellStyle name="Обычный 10 4 4" xfId="10614"/>
    <cellStyle name="Обычный 10 4 5" xfId="10615"/>
    <cellStyle name="Обычный 10 5" xfId="10616"/>
    <cellStyle name="Обычный 10 5 2" xfId="10617"/>
    <cellStyle name="Обычный 10 5 2 2" xfId="10618"/>
    <cellStyle name="Обычный 10 5 2 3" xfId="10619"/>
    <cellStyle name="Обычный 10 5 3" xfId="10620"/>
    <cellStyle name="Обычный 10 5 4" xfId="10621"/>
    <cellStyle name="Обычный 10 5 5" xfId="10622"/>
    <cellStyle name="Обычный 10 6" xfId="10623"/>
    <cellStyle name="Обычный 10_ЕЖЕДНЕВНО" xfId="10624"/>
    <cellStyle name="Обычный 100" xfId="10625"/>
    <cellStyle name="Обычный 101" xfId="10626"/>
    <cellStyle name="Обычный 102" xfId="10627"/>
    <cellStyle name="Обычный 103" xfId="10628"/>
    <cellStyle name="Обычный 104" xfId="10629"/>
    <cellStyle name="Обычный 105" xfId="10630"/>
    <cellStyle name="Обычный 106" xfId="10631"/>
    <cellStyle name="Обычный 11" xfId="10632"/>
    <cellStyle name="Обычный 11 2" xfId="10633"/>
    <cellStyle name="Обычный 11 2 2" xfId="10634"/>
    <cellStyle name="Обычный 11 2 3" xfId="10635"/>
    <cellStyle name="Обычный 11 2 4" xfId="10636"/>
    <cellStyle name="Обычный 11 3" xfId="10637"/>
    <cellStyle name="Обычный 11 3 2" xfId="10638"/>
    <cellStyle name="Обычный 11 3 2 2" xfId="10639"/>
    <cellStyle name="Обычный 11 3 3" xfId="10640"/>
    <cellStyle name="Обычный 11 3 3 2" xfId="10641"/>
    <cellStyle name="Обычный 11 3 4" xfId="10642"/>
    <cellStyle name="Обычный 11 4" xfId="10643"/>
    <cellStyle name="Обычный 11 4 2" xfId="10644"/>
    <cellStyle name="Обычный 11 4 2 2" xfId="10645"/>
    <cellStyle name="Обычный 11 4 2 3" xfId="10646"/>
    <cellStyle name="Обычный 11 4 3" xfId="10647"/>
    <cellStyle name="Обычный 11 4 4" xfId="10648"/>
    <cellStyle name="Обычный 11 4 5" xfId="10649"/>
    <cellStyle name="Обычный 11_46EE.2011(v1.2)" xfId="10650"/>
    <cellStyle name="Обычный 12" xfId="10651"/>
    <cellStyle name="Обычный 12 2" xfId="10652"/>
    <cellStyle name="Обычный 12 2 2" xfId="10653"/>
    <cellStyle name="Обычный 12 3" xfId="10654"/>
    <cellStyle name="Обычный 12 3 2" xfId="10655"/>
    <cellStyle name="Обычный 12 3 2 2" xfId="10656"/>
    <cellStyle name="Обычный 12 3 2 3" xfId="10657"/>
    <cellStyle name="Обычный 12 3 3" xfId="10658"/>
    <cellStyle name="Обычный 12 3 4" xfId="10659"/>
    <cellStyle name="Обычный 12 3 5" xfId="10660"/>
    <cellStyle name="Обычный 12 4" xfId="10661"/>
    <cellStyle name="Обычный 12_PORT.PRICE(v0.3)" xfId="10662"/>
    <cellStyle name="Обычный 13" xfId="10663"/>
    <cellStyle name="Обычный 13 2" xfId="10664"/>
    <cellStyle name="Обычный 13 2 2" xfId="10665"/>
    <cellStyle name="Обычный 13 2 2 2" xfId="10666"/>
    <cellStyle name="Обычный 13 2 2 3" xfId="10667"/>
    <cellStyle name="Обычный 13 2 3" xfId="10668"/>
    <cellStyle name="Обычный 13 2 4" xfId="10669"/>
    <cellStyle name="Обычный 13 2 5" xfId="10670"/>
    <cellStyle name="Обычный 13 3" xfId="10671"/>
    <cellStyle name="Обычный 13 3 2" xfId="10672"/>
    <cellStyle name="Обычный 13 3 2 2" xfId="10673"/>
    <cellStyle name="Обычный 13 3 2 3" xfId="10674"/>
    <cellStyle name="Обычный 13 3 3" xfId="10675"/>
    <cellStyle name="Обычный 13 3 4" xfId="10676"/>
    <cellStyle name="Обычный 13 3 5" xfId="10677"/>
    <cellStyle name="Обычный 14" xfId="10678"/>
    <cellStyle name="Обычный 14 2" xfId="10679"/>
    <cellStyle name="Обычный 14 2 2" xfId="10680"/>
    <cellStyle name="Обычный 14 2 2 2" xfId="10681"/>
    <cellStyle name="Обычный 14 2 2 3" xfId="10682"/>
    <cellStyle name="Обычный 14 2 3" xfId="10683"/>
    <cellStyle name="Обычный 14 2 4" xfId="10684"/>
    <cellStyle name="Обычный 14 2 5" xfId="10685"/>
    <cellStyle name="Обычный 14 3" xfId="10686"/>
    <cellStyle name="Обычный 14 3 2" xfId="10687"/>
    <cellStyle name="Обычный 14 3 2 2" xfId="10688"/>
    <cellStyle name="Обычный 14 3 2 3" xfId="10689"/>
    <cellStyle name="Обычный 14 3 3" xfId="10690"/>
    <cellStyle name="Обычный 14 3 4" xfId="10691"/>
    <cellStyle name="Обычный 14 3 5" xfId="10692"/>
    <cellStyle name="Обычный 15" xfId="10693"/>
    <cellStyle name="Обычный 15 2" xfId="10694"/>
    <cellStyle name="Обычный 15 2 2" xfId="10695"/>
    <cellStyle name="Обычный 15 2 2 2" xfId="10696"/>
    <cellStyle name="Обычный 15 2 2 3" xfId="10697"/>
    <cellStyle name="Обычный 15 2 3" xfId="10698"/>
    <cellStyle name="Обычный 15 2 4" xfId="10699"/>
    <cellStyle name="Обычный 15 2 5" xfId="10700"/>
    <cellStyle name="Обычный 15 3" xfId="10701"/>
    <cellStyle name="Обычный 156" xfId="10702"/>
    <cellStyle name="Обычный 157" xfId="10703"/>
    <cellStyle name="Обычный 158" xfId="10704"/>
    <cellStyle name="Обычный 159" xfId="10705"/>
    <cellStyle name="Обычный 16" xfId="10706"/>
    <cellStyle name="Обычный 16 2" xfId="10707"/>
    <cellStyle name="Обычный 16 3" xfId="10708"/>
    <cellStyle name="Обычный 16 3 2" xfId="10709"/>
    <cellStyle name="Обычный 16 3 2 2" xfId="10710"/>
    <cellStyle name="Обычный 16 3 2 3" xfId="10711"/>
    <cellStyle name="Обычный 16 3 3" xfId="10712"/>
    <cellStyle name="Обычный 16 3 4" xfId="10713"/>
    <cellStyle name="Обычный 16 3 5" xfId="10714"/>
    <cellStyle name="Обычный 16 4" xfId="10715"/>
    <cellStyle name="Обычный 16 4 2" xfId="10716"/>
    <cellStyle name="Обычный 16 4 3" xfId="10717"/>
    <cellStyle name="Обычный 16 5" xfId="10718"/>
    <cellStyle name="Обычный 16 6" xfId="10719"/>
    <cellStyle name="Обычный 16 7" xfId="10720"/>
    <cellStyle name="Обычный 160" xfId="10721"/>
    <cellStyle name="Обычный 161" xfId="10722"/>
    <cellStyle name="Обычный 162" xfId="10723"/>
    <cellStyle name="Обычный 163" xfId="10724"/>
    <cellStyle name="Обычный 164" xfId="10725"/>
    <cellStyle name="Обычный 165" xfId="10726"/>
    <cellStyle name="Обычный 166" xfId="10727"/>
    <cellStyle name="Обычный 167" xfId="10728"/>
    <cellStyle name="Обычный 168" xfId="10729"/>
    <cellStyle name="Обычный 17" xfId="10730"/>
    <cellStyle name="Обычный 17 2" xfId="10731"/>
    <cellStyle name="Обычный 17 2 2" xfId="10732"/>
    <cellStyle name="Обычный 17 2 2 2" xfId="10733"/>
    <cellStyle name="Обычный 17 2 2 3" xfId="10734"/>
    <cellStyle name="Обычный 17 2 3" xfId="10735"/>
    <cellStyle name="Обычный 17 2 4" xfId="10736"/>
    <cellStyle name="Обычный 17 2 5" xfId="10737"/>
    <cellStyle name="Обычный 17 3" xfId="10738"/>
    <cellStyle name="Обычный 17 3 2" xfId="10739"/>
    <cellStyle name="Обычный 17 3 2 2" xfId="10740"/>
    <cellStyle name="Обычный 17 3 2 3" xfId="10741"/>
    <cellStyle name="Обычный 17 3 3" xfId="10742"/>
    <cellStyle name="Обычный 17 3 4" xfId="10743"/>
    <cellStyle name="Обычный 17 3 5" xfId="10744"/>
    <cellStyle name="Обычный 17 4" xfId="10745"/>
    <cellStyle name="Обычный 17 4 2" xfId="10746"/>
    <cellStyle name="Обычный 17 4 3" xfId="10747"/>
    <cellStyle name="Обычный 17 5" xfId="10748"/>
    <cellStyle name="Обычный 17 6" xfId="10749"/>
    <cellStyle name="Обычный 17 7" xfId="10750"/>
    <cellStyle name="Обычный 170" xfId="10751"/>
    <cellStyle name="Обычный 171" xfId="10752"/>
    <cellStyle name="Обычный 172" xfId="10753"/>
    <cellStyle name="Обычный 173" xfId="10754"/>
    <cellStyle name="Обычный 18" xfId="10755"/>
    <cellStyle name="Обычный 18 2" xfId="10756"/>
    <cellStyle name="Обычный 18 2 2" xfId="10757"/>
    <cellStyle name="Обычный 18 2 2 2" xfId="10758"/>
    <cellStyle name="Обычный 18 2 2 3" xfId="10759"/>
    <cellStyle name="Обычный 18 2 3" xfId="10760"/>
    <cellStyle name="Обычный 18 2 4" xfId="10761"/>
    <cellStyle name="Обычный 18 2 5" xfId="10762"/>
    <cellStyle name="Обычный 18 3" xfId="10763"/>
    <cellStyle name="Обычный 18 3 2" xfId="10764"/>
    <cellStyle name="Обычный 18 3 2 2" xfId="10765"/>
    <cellStyle name="Обычный 18 3 2 3" xfId="10766"/>
    <cellStyle name="Обычный 18 3 3" xfId="10767"/>
    <cellStyle name="Обычный 18 3 4" xfId="10768"/>
    <cellStyle name="Обычный 18 3 5" xfId="10769"/>
    <cellStyle name="Обычный 18 4" xfId="10770"/>
    <cellStyle name="Обычный 18 4 2" xfId="10771"/>
    <cellStyle name="Обычный 18 4 3" xfId="10772"/>
    <cellStyle name="Обычный 18 5" xfId="10773"/>
    <cellStyle name="Обычный 18 6" xfId="10774"/>
    <cellStyle name="Обычный 18 7" xfId="10775"/>
    <cellStyle name="Обычный 182 2" xfId="10776"/>
    <cellStyle name="Обычный 182 2 2" xfId="10777"/>
    <cellStyle name="Обычный 182 2 2 2" xfId="10778"/>
    <cellStyle name="Обычный 182 2 2 2 2" xfId="10779"/>
    <cellStyle name="Обычный 182 2 2 2 3" xfId="10780"/>
    <cellStyle name="Обычный 182 2 2 3" xfId="10781"/>
    <cellStyle name="Обычный 182 2 2 4" xfId="10782"/>
    <cellStyle name="Обычный 182 2 2 5" xfId="10783"/>
    <cellStyle name="Обычный 182 2 3" xfId="10784"/>
    <cellStyle name="Обычный 182 2 3 2" xfId="10785"/>
    <cellStyle name="Обычный 182 2 3 2 2" xfId="10786"/>
    <cellStyle name="Обычный 182 2 3 2 3" xfId="10787"/>
    <cellStyle name="Обычный 182 2 3 3" xfId="10788"/>
    <cellStyle name="Обычный 182 2 3 4" xfId="10789"/>
    <cellStyle name="Обычный 182 2 3 5" xfId="10790"/>
    <cellStyle name="Обычный 182 2 4" xfId="10791"/>
    <cellStyle name="Обычный 182 2 4 2" xfId="10792"/>
    <cellStyle name="Обычный 182 2 4 3" xfId="10793"/>
    <cellStyle name="Обычный 182 2 5" xfId="10794"/>
    <cellStyle name="Обычный 182 2 6" xfId="10795"/>
    <cellStyle name="Обычный 182 2 7" xfId="10796"/>
    <cellStyle name="Обычный 186 2" xfId="10797"/>
    <cellStyle name="Обычный 186 2 2" xfId="10798"/>
    <cellStyle name="Обычный 186 2 2 2" xfId="10799"/>
    <cellStyle name="Обычный 186 2 2 2 2" xfId="10800"/>
    <cellStyle name="Обычный 186 2 2 2 3" xfId="10801"/>
    <cellStyle name="Обычный 186 2 2 3" xfId="10802"/>
    <cellStyle name="Обычный 186 2 2 4" xfId="10803"/>
    <cellStyle name="Обычный 186 2 2 5" xfId="10804"/>
    <cellStyle name="Обычный 186 2 3" xfId="10805"/>
    <cellStyle name="Обычный 186 2 3 2" xfId="10806"/>
    <cellStyle name="Обычный 186 2 3 2 2" xfId="10807"/>
    <cellStyle name="Обычный 186 2 3 2 3" xfId="10808"/>
    <cellStyle name="Обычный 186 2 3 3" xfId="10809"/>
    <cellStyle name="Обычный 186 2 3 4" xfId="10810"/>
    <cellStyle name="Обычный 186 2 3 5" xfId="10811"/>
    <cellStyle name="Обычный 186 2 4" xfId="10812"/>
    <cellStyle name="Обычный 186 2 4 2" xfId="10813"/>
    <cellStyle name="Обычный 186 2 4 3" xfId="10814"/>
    <cellStyle name="Обычный 186 2 5" xfId="10815"/>
    <cellStyle name="Обычный 186 2 6" xfId="10816"/>
    <cellStyle name="Обычный 186 2 7" xfId="10817"/>
    <cellStyle name="Обычный 19" xfId="10818"/>
    <cellStyle name="Обычный 19 2" xfId="10819"/>
    <cellStyle name="Обычный 19 2 2" xfId="10820"/>
    <cellStyle name="Обычный 19 2 2 2" xfId="10821"/>
    <cellStyle name="Обычный 19 2 2 3" xfId="10822"/>
    <cellStyle name="Обычный 19 2 3" xfId="10823"/>
    <cellStyle name="Обычный 19 2 4" xfId="10824"/>
    <cellStyle name="Обычный 19 2 5" xfId="10825"/>
    <cellStyle name="Обычный 19 3" xfId="10826"/>
    <cellStyle name="Обычный 19 3 2" xfId="10827"/>
    <cellStyle name="Обычный 19 3 2 2" xfId="10828"/>
    <cellStyle name="Обычный 19 3 2 3" xfId="10829"/>
    <cellStyle name="Обычный 19 3 3" xfId="10830"/>
    <cellStyle name="Обычный 19 3 4" xfId="10831"/>
    <cellStyle name="Обычный 19 3 5" xfId="10832"/>
    <cellStyle name="Обычный 19 4" xfId="10833"/>
    <cellStyle name="Обычный 19 4 2" xfId="10834"/>
    <cellStyle name="Обычный 19 4 3" xfId="10835"/>
    <cellStyle name="Обычный 19 5" xfId="10836"/>
    <cellStyle name="Обычный 19 6" xfId="10837"/>
    <cellStyle name="Обычный 19 7" xfId="10838"/>
    <cellStyle name="Обычный 193 2" xfId="10839"/>
    <cellStyle name="Обычный 193 2 2" xfId="10840"/>
    <cellStyle name="Обычный 193 2 2 2" xfId="10841"/>
    <cellStyle name="Обычный 193 2 2 2 2" xfId="10842"/>
    <cellStyle name="Обычный 193 2 2 2 3" xfId="10843"/>
    <cellStyle name="Обычный 193 2 2 3" xfId="10844"/>
    <cellStyle name="Обычный 193 2 2 4" xfId="10845"/>
    <cellStyle name="Обычный 193 2 2 5" xfId="10846"/>
    <cellStyle name="Обычный 193 2 3" xfId="10847"/>
    <cellStyle name="Обычный 193 2 3 2" xfId="10848"/>
    <cellStyle name="Обычный 193 2 3 2 2" xfId="10849"/>
    <cellStyle name="Обычный 193 2 3 2 3" xfId="10850"/>
    <cellStyle name="Обычный 193 2 3 3" xfId="10851"/>
    <cellStyle name="Обычный 193 2 3 4" xfId="10852"/>
    <cellStyle name="Обычный 193 2 3 5" xfId="10853"/>
    <cellStyle name="Обычный 193 2 4" xfId="10854"/>
    <cellStyle name="Обычный 193 2 4 2" xfId="10855"/>
    <cellStyle name="Обычный 193 2 4 3" xfId="10856"/>
    <cellStyle name="Обычный 193 2 5" xfId="10857"/>
    <cellStyle name="Обычный 193 2 6" xfId="10858"/>
    <cellStyle name="Обычный 193 2 7" xfId="10859"/>
    <cellStyle name="Обычный 196 2" xfId="10860"/>
    <cellStyle name="Обычный 196 2 2" xfId="10861"/>
    <cellStyle name="Обычный 196 2 2 2" xfId="10862"/>
    <cellStyle name="Обычный 196 2 2 2 2" xfId="10863"/>
    <cellStyle name="Обычный 196 2 2 2 3" xfId="10864"/>
    <cellStyle name="Обычный 196 2 2 3" xfId="10865"/>
    <cellStyle name="Обычный 196 2 2 4" xfId="10866"/>
    <cellStyle name="Обычный 196 2 2 5" xfId="10867"/>
    <cellStyle name="Обычный 196 2 3" xfId="10868"/>
    <cellStyle name="Обычный 196 2 3 2" xfId="10869"/>
    <cellStyle name="Обычный 196 2 3 2 2" xfId="10870"/>
    <cellStyle name="Обычный 196 2 3 2 3" xfId="10871"/>
    <cellStyle name="Обычный 196 2 3 3" xfId="10872"/>
    <cellStyle name="Обычный 196 2 3 4" xfId="10873"/>
    <cellStyle name="Обычный 196 2 3 5" xfId="10874"/>
    <cellStyle name="Обычный 196 2 4" xfId="10875"/>
    <cellStyle name="Обычный 196 2 4 2" xfId="10876"/>
    <cellStyle name="Обычный 196 2 4 3" xfId="10877"/>
    <cellStyle name="Обычный 196 2 5" xfId="10878"/>
    <cellStyle name="Обычный 196 2 6" xfId="10879"/>
    <cellStyle name="Обычный 196 2 7" xfId="10880"/>
    <cellStyle name="Обычный 2" xfId="10881"/>
    <cellStyle name="Обычный 2 10" xfId="10882"/>
    <cellStyle name="Обычный 2 10 2" xfId="10883"/>
    <cellStyle name="Обычный 2 11" xfId="10884"/>
    <cellStyle name="Обычный 2 12" xfId="10885"/>
    <cellStyle name="Обычный 2 13" xfId="10886"/>
    <cellStyle name="Обычный 2 13 2" xfId="10887"/>
    <cellStyle name="Обычный 2 14" xfId="10888"/>
    <cellStyle name="Обычный 2 14 2" xfId="10889"/>
    <cellStyle name="Обычный 2 15" xfId="10890"/>
    <cellStyle name="Обычный 2 15 2" xfId="10891"/>
    <cellStyle name="Обычный 2 15 3" xfId="10892"/>
    <cellStyle name="Обычный 2 16" xfId="10893"/>
    <cellStyle name="Обычный 2 17" xfId="10894"/>
    <cellStyle name="Обычный 2 18" xfId="10895"/>
    <cellStyle name="Обычный 2 19" xfId="10896"/>
    <cellStyle name="Обычный 2 2" xfId="10897"/>
    <cellStyle name="Обычный 2 2 2" xfId="10898"/>
    <cellStyle name="Обычный 2 2 2 2" xfId="10899"/>
    <cellStyle name="Обычный 2 2 2 2 2" xfId="10900"/>
    <cellStyle name="Обычный 2 2 2 2 2 2" xfId="10901"/>
    <cellStyle name="Обычный 2 2 2 2 2 2 2" xfId="10902"/>
    <cellStyle name="Обычный 2 2 2 2 2 2 2 2" xfId="10903"/>
    <cellStyle name="Обычный 2 2 2 2 2 2 2 3" xfId="10904"/>
    <cellStyle name="Обычный 2 2 2 2 2 2 3" xfId="10905"/>
    <cellStyle name="Обычный 2 2 2 2 2 2 4" xfId="10906"/>
    <cellStyle name="Обычный 2 2 2 2 2 2 5" xfId="10907"/>
    <cellStyle name="Обычный 2 2 2 2 2 3" xfId="10908"/>
    <cellStyle name="Обычный 2 2 2 2 2 3 2" xfId="10909"/>
    <cellStyle name="Обычный 2 2 2 2 2 3 2 2" xfId="10910"/>
    <cellStyle name="Обычный 2 2 2 2 2 3 2 3" xfId="10911"/>
    <cellStyle name="Обычный 2 2 2 2 2 3 3" xfId="10912"/>
    <cellStyle name="Обычный 2 2 2 2 2 3 4" xfId="10913"/>
    <cellStyle name="Обычный 2 2 2 2 2 3 5" xfId="10914"/>
    <cellStyle name="Обычный 2 2 2 2 2 4" xfId="10915"/>
    <cellStyle name="Обычный 2 2 2 2 2 4 2" xfId="10916"/>
    <cellStyle name="Обычный 2 2 2 2 2 4 3" xfId="10917"/>
    <cellStyle name="Обычный 2 2 2 2 2 5" xfId="10918"/>
    <cellStyle name="Обычный 2 2 2 2 2 6" xfId="10919"/>
    <cellStyle name="Обычный 2 2 2 2 2 7" xfId="10920"/>
    <cellStyle name="Обычный 2 2 2 2 3" xfId="10921"/>
    <cellStyle name="Обычный 2 2 2 2 3 2" xfId="10922"/>
    <cellStyle name="Обычный 2 2 2 2 3 2 2" xfId="10923"/>
    <cellStyle name="Обычный 2 2 2 2 3 2 3" xfId="10924"/>
    <cellStyle name="Обычный 2 2 2 2 3 3" xfId="10925"/>
    <cellStyle name="Обычный 2 2 2 2 3 4" xfId="10926"/>
    <cellStyle name="Обычный 2 2 2 2 3 5" xfId="10927"/>
    <cellStyle name="Обычный 2 2 2 2 4" xfId="10928"/>
    <cellStyle name="Обычный 2 2 2 2 4 2" xfId="10929"/>
    <cellStyle name="Обычный 2 2 2 2 4 2 2" xfId="10930"/>
    <cellStyle name="Обычный 2 2 2 2 4 2 3" xfId="10931"/>
    <cellStyle name="Обычный 2 2 2 2 4 3" xfId="10932"/>
    <cellStyle name="Обычный 2 2 2 2 4 4" xfId="10933"/>
    <cellStyle name="Обычный 2 2 2 2 4 5" xfId="10934"/>
    <cellStyle name="Обычный 2 2 2 2 5" xfId="10935"/>
    <cellStyle name="Обычный 2 2 2 2 5 2" xfId="10936"/>
    <cellStyle name="Обычный 2 2 2 2 5 3" xfId="10937"/>
    <cellStyle name="Обычный 2 2 2 2 6" xfId="10938"/>
    <cellStyle name="Обычный 2 2 2 2 7" xfId="10939"/>
    <cellStyle name="Обычный 2 2 2 2 8" xfId="10940"/>
    <cellStyle name="Обычный 2 2 2 2_Екатеринбургский_утвержденный" xfId="10941"/>
    <cellStyle name="Обычный 2 2 2 3" xfId="10942"/>
    <cellStyle name="Обычный 2 2 3" xfId="10943"/>
    <cellStyle name="Обычный 2 2 4" xfId="10944"/>
    <cellStyle name="Обычный 2 2 5" xfId="10945"/>
    <cellStyle name="Обычный 2 2 6" xfId="10946"/>
    <cellStyle name="Обычный 2 2 6 2" xfId="10947"/>
    <cellStyle name="Обычный 2 2 6 2 2" xfId="10948"/>
    <cellStyle name="Обычный 2 2 6 2 3" xfId="10949"/>
    <cellStyle name="Обычный 2 2 6 3" xfId="10950"/>
    <cellStyle name="Обычный 2 2 6 4" xfId="10951"/>
    <cellStyle name="Обычный 2 2 6 5" xfId="10952"/>
    <cellStyle name="Обычный 2 2 7" xfId="10953"/>
    <cellStyle name="Обычный 2 2_~0042442" xfId="10954"/>
    <cellStyle name="Обычный 2 20" xfId="10955"/>
    <cellStyle name="Обычный 2 21" xfId="10956"/>
    <cellStyle name="Обычный 2 22" xfId="10957"/>
    <cellStyle name="Обычный 2 22 2" xfId="10958"/>
    <cellStyle name="Обычный 2 22 2 2" xfId="10959"/>
    <cellStyle name="Обычный 2 22 2 2 2" xfId="10960"/>
    <cellStyle name="Обычный 2 22 2 2 3" xfId="10961"/>
    <cellStyle name="Обычный 2 22 2 3" xfId="10962"/>
    <cellStyle name="Обычный 2 22 2 4" xfId="10963"/>
    <cellStyle name="Обычный 2 22 2 5" xfId="10964"/>
    <cellStyle name="Обычный 2 22 3" xfId="10965"/>
    <cellStyle name="Обычный 2 22 3 2" xfId="10966"/>
    <cellStyle name="Обычный 2 22 3 2 2" xfId="10967"/>
    <cellStyle name="Обычный 2 22 3 2 3" xfId="10968"/>
    <cellStyle name="Обычный 2 22 3 3" xfId="10969"/>
    <cellStyle name="Обычный 2 22 3 4" xfId="10970"/>
    <cellStyle name="Обычный 2 22 3 5" xfId="10971"/>
    <cellStyle name="Обычный 2 23" xfId="10972"/>
    <cellStyle name="Обычный 2 23 2" xfId="10973"/>
    <cellStyle name="Обычный 2 24" xfId="10974"/>
    <cellStyle name="Обычный 2 25" xfId="10975"/>
    <cellStyle name="Обычный 2 26" xfId="10976"/>
    <cellStyle name="Обычный 2 27" xfId="10977"/>
    <cellStyle name="Обычный 2 28" xfId="10978"/>
    <cellStyle name="Обычный 2 29" xfId="10979"/>
    <cellStyle name="Обычный 2 3" xfId="10980"/>
    <cellStyle name="Обычный 2 3 2" xfId="10981"/>
    <cellStyle name="Обычный 2 3 2 2" xfId="10982"/>
    <cellStyle name="Обычный 2 3 2 2 2" xfId="10983"/>
    <cellStyle name="Обычный 2 3 2 2 2 2" xfId="10984"/>
    <cellStyle name="Обычный 2 3 2 2 2 3" xfId="10985"/>
    <cellStyle name="Обычный 2 3 2 2 3" xfId="10986"/>
    <cellStyle name="Обычный 2 3 2 2 4" xfId="10987"/>
    <cellStyle name="Обычный 2 3 2 2 5" xfId="10988"/>
    <cellStyle name="Обычный 2 3 2 3" xfId="10989"/>
    <cellStyle name="Обычный 2 3 2 3 2" xfId="10990"/>
    <cellStyle name="Обычный 2 3 2 3 2 2" xfId="10991"/>
    <cellStyle name="Обычный 2 3 2 3 2 3" xfId="10992"/>
    <cellStyle name="Обычный 2 3 2 3 3" xfId="10993"/>
    <cellStyle name="Обычный 2 3 2 3 4" xfId="10994"/>
    <cellStyle name="Обычный 2 3 2 3 5" xfId="10995"/>
    <cellStyle name="Обычный 2 3 3" xfId="10996"/>
    <cellStyle name="Обычный 2 3 4" xfId="10997"/>
    <cellStyle name="Обычный 2 3 4 2" xfId="10998"/>
    <cellStyle name="Обычный 2 3 4 2 2" xfId="10999"/>
    <cellStyle name="Обычный 2 3 4 2 3" xfId="11000"/>
    <cellStyle name="Обычный 2 3 4 3" xfId="11001"/>
    <cellStyle name="Обычный 2 3 4 4" xfId="11002"/>
    <cellStyle name="Обычный 2 3 4 5" xfId="11003"/>
    <cellStyle name="Обычный 2 3_46EE.2011(v1.0)" xfId="11004"/>
    <cellStyle name="Обычный 2 30" xfId="11005"/>
    <cellStyle name="Обычный 2 31" xfId="11006"/>
    <cellStyle name="Обычный 2 32" xfId="11007"/>
    <cellStyle name="Обычный 2 33" xfId="11008"/>
    <cellStyle name="Обычный 2 34" xfId="11009"/>
    <cellStyle name="Обычный 2 35" xfId="11010"/>
    <cellStyle name="Обычный 2 36" xfId="11011"/>
    <cellStyle name="Обычный 2 37" xfId="11012"/>
    <cellStyle name="Обычный 2 38" xfId="11013"/>
    <cellStyle name="Обычный 2 39" xfId="11014"/>
    <cellStyle name="Обычный 2 4" xfId="11015"/>
    <cellStyle name="Обычный 2 4 2" xfId="11016"/>
    <cellStyle name="Обычный 2 4 3" xfId="11017"/>
    <cellStyle name="Обычный 2 4 4" xfId="11018"/>
    <cellStyle name="Обычный 2 4_46EE.2011(v1.0)" xfId="11019"/>
    <cellStyle name="Обычный 2 40" xfId="11020"/>
    <cellStyle name="Обычный 2 41" xfId="11021"/>
    <cellStyle name="Обычный 2 42" xfId="11022"/>
    <cellStyle name="Обычный 2 43" xfId="11023"/>
    <cellStyle name="Обычный 2 44" xfId="11024"/>
    <cellStyle name="Обычный 2 45" xfId="11025"/>
    <cellStyle name="Обычный 2 46" xfId="11026"/>
    <cellStyle name="Обычный 2 47" xfId="11027"/>
    <cellStyle name="Обычный 2 48" xfId="11028"/>
    <cellStyle name="Обычный 2 49" xfId="11029"/>
    <cellStyle name="Обычный 2 5" xfId="11030"/>
    <cellStyle name="Обычный 2 5 2" xfId="11031"/>
    <cellStyle name="Обычный 2 5 3" xfId="11032"/>
    <cellStyle name="Обычный 2 5_46EE.2011(v1.0)" xfId="11033"/>
    <cellStyle name="Обычный 2 50" xfId="11034"/>
    <cellStyle name="Обычный 2 51" xfId="11035"/>
    <cellStyle name="Обычный 2 52" xfId="11036"/>
    <cellStyle name="Обычный 2 53" xfId="11037"/>
    <cellStyle name="Обычный 2 54" xfId="11038"/>
    <cellStyle name="Обычный 2 55" xfId="11039"/>
    <cellStyle name="Обычный 2 56" xfId="11040"/>
    <cellStyle name="Обычный 2 57" xfId="11041"/>
    <cellStyle name="Обычный 2 58" xfId="11042"/>
    <cellStyle name="Обычный 2 59" xfId="11043"/>
    <cellStyle name="Обычный 2 6" xfId="11044"/>
    <cellStyle name="Обычный 2 6 2" xfId="11045"/>
    <cellStyle name="Обычный 2 6 3" xfId="11046"/>
    <cellStyle name="Обычный 2 6_46EE.2011(v1.0)" xfId="11047"/>
    <cellStyle name="Обычный 2 60" xfId="11048"/>
    <cellStyle name="Обычный 2 61" xfId="11049"/>
    <cellStyle name="Обычный 2 62" xfId="11050"/>
    <cellStyle name="Обычный 2 63" xfId="11051"/>
    <cellStyle name="Обычный 2 64" xfId="11052"/>
    <cellStyle name="Обычный 2 64 2" xfId="11053"/>
    <cellStyle name="Обычный 2 64 2 2" xfId="11054"/>
    <cellStyle name="Обычный 2 64 2 3" xfId="11055"/>
    <cellStyle name="Обычный 2 64 3" xfId="11056"/>
    <cellStyle name="Обычный 2 64 4" xfId="11057"/>
    <cellStyle name="Обычный 2 64 5" xfId="11058"/>
    <cellStyle name="Обычный 2 65" xfId="11059"/>
    <cellStyle name="Обычный 2 66" xfId="11060"/>
    <cellStyle name="Обычный 2 67" xfId="11061"/>
    <cellStyle name="Обычный 2 7" xfId="11062"/>
    <cellStyle name="Обычный 2 8" xfId="11063"/>
    <cellStyle name="Обычный 2 8 2" xfId="11064"/>
    <cellStyle name="Обычный 2 9" xfId="11065"/>
    <cellStyle name="Обычный 2_1" xfId="11066"/>
    <cellStyle name="Обычный 20" xfId="11067"/>
    <cellStyle name="Обычный 20 2" xfId="11068"/>
    <cellStyle name="Обычный 20 2 2" xfId="11069"/>
    <cellStyle name="Обычный 20 2 2 2" xfId="11070"/>
    <cellStyle name="Обычный 20 2 2 3" xfId="11071"/>
    <cellStyle name="Обычный 20 2 3" xfId="11072"/>
    <cellStyle name="Обычный 20 2 4" xfId="11073"/>
    <cellStyle name="Обычный 20 2 5" xfId="11074"/>
    <cellStyle name="Обычный 20 3" xfId="11075"/>
    <cellStyle name="Обычный 20 3 2" xfId="11076"/>
    <cellStyle name="Обычный 20 3 2 2" xfId="11077"/>
    <cellStyle name="Обычный 20 3 2 3" xfId="11078"/>
    <cellStyle name="Обычный 20 3 3" xfId="11079"/>
    <cellStyle name="Обычный 20 3 4" xfId="11080"/>
    <cellStyle name="Обычный 20 3 5" xfId="11081"/>
    <cellStyle name="Обычный 20 4" xfId="11082"/>
    <cellStyle name="Обычный 208 2" xfId="11083"/>
    <cellStyle name="Обычный 208 2 2" xfId="11084"/>
    <cellStyle name="Обычный 208 2 2 2" xfId="11085"/>
    <cellStyle name="Обычный 208 2 2 2 2" xfId="11086"/>
    <cellStyle name="Обычный 208 2 2 2 3" xfId="11087"/>
    <cellStyle name="Обычный 208 2 2 3" xfId="11088"/>
    <cellStyle name="Обычный 208 2 2 4" xfId="11089"/>
    <cellStyle name="Обычный 208 2 2 5" xfId="11090"/>
    <cellStyle name="Обычный 208 2 3" xfId="11091"/>
    <cellStyle name="Обычный 208 2 3 2" xfId="11092"/>
    <cellStyle name="Обычный 208 2 3 2 2" xfId="11093"/>
    <cellStyle name="Обычный 208 2 3 2 3" xfId="11094"/>
    <cellStyle name="Обычный 208 2 3 3" xfId="11095"/>
    <cellStyle name="Обычный 208 2 3 4" xfId="11096"/>
    <cellStyle name="Обычный 208 2 3 5" xfId="11097"/>
    <cellStyle name="Обычный 208 2 4" xfId="11098"/>
    <cellStyle name="Обычный 208 2 4 2" xfId="11099"/>
    <cellStyle name="Обычный 208 2 4 3" xfId="11100"/>
    <cellStyle name="Обычный 208 2 5" xfId="11101"/>
    <cellStyle name="Обычный 208 2 6" xfId="11102"/>
    <cellStyle name="Обычный 208 2 7" xfId="11103"/>
    <cellStyle name="Обычный 21" xfId="11104"/>
    <cellStyle name="Обычный 21 2" xfId="11105"/>
    <cellStyle name="Обычный 21 2 2" xfId="11106"/>
    <cellStyle name="Обычный 21 2 2 2" xfId="11107"/>
    <cellStyle name="Обычный 21 2 2 3" xfId="11108"/>
    <cellStyle name="Обычный 21 2 3" xfId="11109"/>
    <cellStyle name="Обычный 21 2 4" xfId="11110"/>
    <cellStyle name="Обычный 21 2 5" xfId="11111"/>
    <cellStyle name="Обычный 21 3" xfId="11112"/>
    <cellStyle name="Обычный 21 3 2" xfId="11113"/>
    <cellStyle name="Обычный 21 3 2 2" xfId="11114"/>
    <cellStyle name="Обычный 21 3 2 3" xfId="11115"/>
    <cellStyle name="Обычный 21 3 3" xfId="11116"/>
    <cellStyle name="Обычный 21 3 4" xfId="11117"/>
    <cellStyle name="Обычный 21 3 5" xfId="11118"/>
    <cellStyle name="Обычный 21 4" xfId="11119"/>
    <cellStyle name="Обычный 210 2" xfId="11120"/>
    <cellStyle name="Обычный 210 2 2" xfId="11121"/>
    <cellStyle name="Обычный 210 2 2 2" xfId="11122"/>
    <cellStyle name="Обычный 210 2 2 2 2" xfId="11123"/>
    <cellStyle name="Обычный 210 2 2 2 3" xfId="11124"/>
    <cellStyle name="Обычный 210 2 2 3" xfId="11125"/>
    <cellStyle name="Обычный 210 2 2 4" xfId="11126"/>
    <cellStyle name="Обычный 210 2 2 5" xfId="11127"/>
    <cellStyle name="Обычный 210 2 3" xfId="11128"/>
    <cellStyle name="Обычный 210 2 3 2" xfId="11129"/>
    <cellStyle name="Обычный 210 2 3 2 2" xfId="11130"/>
    <cellStyle name="Обычный 210 2 3 2 3" xfId="11131"/>
    <cellStyle name="Обычный 210 2 3 3" xfId="11132"/>
    <cellStyle name="Обычный 210 2 3 4" xfId="11133"/>
    <cellStyle name="Обычный 210 2 3 5" xfId="11134"/>
    <cellStyle name="Обычный 210 2 4" xfId="11135"/>
    <cellStyle name="Обычный 210 2 4 2" xfId="11136"/>
    <cellStyle name="Обычный 210 2 4 3" xfId="11137"/>
    <cellStyle name="Обычный 210 2 5" xfId="11138"/>
    <cellStyle name="Обычный 210 2 6" xfId="11139"/>
    <cellStyle name="Обычный 210 2 7" xfId="11140"/>
    <cellStyle name="Обычный 22" xfId="11141"/>
    <cellStyle name="Обычный 22 2" xfId="11142"/>
    <cellStyle name="Обычный 22 2 2" xfId="11143"/>
    <cellStyle name="Обычный 22 2 2 2" xfId="11144"/>
    <cellStyle name="Обычный 22 2 2 3" xfId="11145"/>
    <cellStyle name="Обычный 22 2 3" xfId="11146"/>
    <cellStyle name="Обычный 22 2 4" xfId="11147"/>
    <cellStyle name="Обычный 22 2 5" xfId="11148"/>
    <cellStyle name="Обычный 22 3" xfId="11149"/>
    <cellStyle name="Обычный 22 3 2" xfId="11150"/>
    <cellStyle name="Обычный 22 3 2 2" xfId="11151"/>
    <cellStyle name="Обычный 22 3 2 3" xfId="11152"/>
    <cellStyle name="Обычный 22 3 3" xfId="11153"/>
    <cellStyle name="Обычный 22 3 4" xfId="11154"/>
    <cellStyle name="Обычный 22 3 5" xfId="11155"/>
    <cellStyle name="Обычный 22 4" xfId="11156"/>
    <cellStyle name="Обычный 22 4 2" xfId="11157"/>
    <cellStyle name="Обычный 22 4 3" xfId="11158"/>
    <cellStyle name="Обычный 22 5" xfId="11159"/>
    <cellStyle name="Обычный 22 6" xfId="11160"/>
    <cellStyle name="Обычный 22 7" xfId="11161"/>
    <cellStyle name="Обычный 22 8" xfId="11162"/>
    <cellStyle name="Обычный 224" xfId="11163"/>
    <cellStyle name="Обычный 23" xfId="11164"/>
    <cellStyle name="Обычный 23 2" xfId="11165"/>
    <cellStyle name="Обычный 23 2 2" xfId="11166"/>
    <cellStyle name="Обычный 23 2 2 2" xfId="11167"/>
    <cellStyle name="Обычный 23 2 2 3" xfId="11168"/>
    <cellStyle name="Обычный 23 2 3" xfId="11169"/>
    <cellStyle name="Обычный 23 2 4" xfId="11170"/>
    <cellStyle name="Обычный 23 2 5" xfId="11171"/>
    <cellStyle name="Обычный 23 3" xfId="11172"/>
    <cellStyle name="Обычный 23 3 2" xfId="11173"/>
    <cellStyle name="Обычный 23 3 2 2" xfId="11174"/>
    <cellStyle name="Обычный 23 3 2 3" xfId="11175"/>
    <cellStyle name="Обычный 23 3 3" xfId="11176"/>
    <cellStyle name="Обычный 23 3 4" xfId="11177"/>
    <cellStyle name="Обычный 23 3 5" xfId="11178"/>
    <cellStyle name="Обычный 23 4" xfId="11179"/>
    <cellStyle name="Обычный 23 4 2" xfId="11180"/>
    <cellStyle name="Обычный 23 4 3" xfId="11181"/>
    <cellStyle name="Обычный 23 5" xfId="11182"/>
    <cellStyle name="Обычный 23 6" xfId="11183"/>
    <cellStyle name="Обычный 23 7" xfId="11184"/>
    <cellStyle name="Обычный 23 8" xfId="11185"/>
    <cellStyle name="Обычный 24" xfId="11186"/>
    <cellStyle name="Обычный 24 2" xfId="11187"/>
    <cellStyle name="Обычный 24 2 2" xfId="11188"/>
    <cellStyle name="Обычный 24 2 2 2" xfId="11189"/>
    <cellStyle name="Обычный 24 2 2 3" xfId="11190"/>
    <cellStyle name="Обычный 24 2 3" xfId="11191"/>
    <cellStyle name="Обычный 24 2 4" xfId="11192"/>
    <cellStyle name="Обычный 24 2 5" xfId="11193"/>
    <cellStyle name="Обычный 24 3" xfId="11194"/>
    <cellStyle name="Обычный 24 3 2" xfId="11195"/>
    <cellStyle name="Обычный 24 3 2 2" xfId="11196"/>
    <cellStyle name="Обычный 24 3 2 3" xfId="11197"/>
    <cellStyle name="Обычный 24 3 3" xfId="11198"/>
    <cellStyle name="Обычный 24 3 4" xfId="11199"/>
    <cellStyle name="Обычный 24 3 5" xfId="11200"/>
    <cellStyle name="Обычный 24 4" xfId="11201"/>
    <cellStyle name="Обычный 24 4 2" xfId="11202"/>
    <cellStyle name="Обычный 24 4 3" xfId="11203"/>
    <cellStyle name="Обычный 24 5" xfId="11204"/>
    <cellStyle name="Обычный 24 6" xfId="11205"/>
    <cellStyle name="Обычный 24 7" xfId="11206"/>
    <cellStyle name="Обычный 25" xfId="11207"/>
    <cellStyle name="Обычный 25 2" xfId="11208"/>
    <cellStyle name="Обычный 25 2 2" xfId="11209"/>
    <cellStyle name="Обычный 25 2 2 2" xfId="11210"/>
    <cellStyle name="Обычный 25 2 2 3" xfId="11211"/>
    <cellStyle name="Обычный 25 2 3" xfId="11212"/>
    <cellStyle name="Обычный 25 2 4" xfId="11213"/>
    <cellStyle name="Обычный 25 2 5" xfId="11214"/>
    <cellStyle name="Обычный 25 3" xfId="11215"/>
    <cellStyle name="Обычный 25 3 2" xfId="11216"/>
    <cellStyle name="Обычный 25 3 2 2" xfId="11217"/>
    <cellStyle name="Обычный 25 3 2 3" xfId="11218"/>
    <cellStyle name="Обычный 25 3 3" xfId="11219"/>
    <cellStyle name="Обычный 25 3 4" xfId="11220"/>
    <cellStyle name="Обычный 25 3 5" xfId="11221"/>
    <cellStyle name="Обычный 25 4" xfId="11222"/>
    <cellStyle name="Обычный 25 4 2" xfId="11223"/>
    <cellStyle name="Обычный 25 4 3" xfId="11224"/>
    <cellStyle name="Обычный 25 5" xfId="11225"/>
    <cellStyle name="Обычный 25 6" xfId="11226"/>
    <cellStyle name="Обычный 25 7" xfId="11227"/>
    <cellStyle name="Обычный 26" xfId="11228"/>
    <cellStyle name="Обычный 26 2" xfId="11229"/>
    <cellStyle name="Обычный 26 2 2" xfId="11230"/>
    <cellStyle name="Обычный 26 2 2 2" xfId="11231"/>
    <cellStyle name="Обычный 26 2 2 3" xfId="11232"/>
    <cellStyle name="Обычный 26 2 3" xfId="11233"/>
    <cellStyle name="Обычный 26 2 4" xfId="11234"/>
    <cellStyle name="Обычный 26 2 5" xfId="11235"/>
    <cellStyle name="Обычный 26 3" xfId="11236"/>
    <cellStyle name="Обычный 26 3 2" xfId="11237"/>
    <cellStyle name="Обычный 26 3 2 2" xfId="11238"/>
    <cellStyle name="Обычный 26 3 2 3" xfId="11239"/>
    <cellStyle name="Обычный 26 3 3" xfId="11240"/>
    <cellStyle name="Обычный 26 3 4" xfId="11241"/>
    <cellStyle name="Обычный 26 3 5" xfId="11242"/>
    <cellStyle name="Обычный 26 4" xfId="11243"/>
    <cellStyle name="Обычный 26 4 2" xfId="11244"/>
    <cellStyle name="Обычный 26 4 3" xfId="11245"/>
    <cellStyle name="Обычный 26 5" xfId="11246"/>
    <cellStyle name="Обычный 26 6" xfId="11247"/>
    <cellStyle name="Обычный 26 7" xfId="11248"/>
    <cellStyle name="Обычный 27" xfId="11249"/>
    <cellStyle name="Обычный 27 2" xfId="11250"/>
    <cellStyle name="Обычный 27 2 2" xfId="11251"/>
    <cellStyle name="Обычный 27 2 2 2" xfId="11252"/>
    <cellStyle name="Обычный 27 2 2 3" xfId="11253"/>
    <cellStyle name="Обычный 27 2 3" xfId="11254"/>
    <cellStyle name="Обычный 27 2 4" xfId="11255"/>
    <cellStyle name="Обычный 27 2 5" xfId="11256"/>
    <cellStyle name="Обычный 27 3" xfId="11257"/>
    <cellStyle name="Обычный 27 3 2" xfId="11258"/>
    <cellStyle name="Обычный 27 3 2 2" xfId="11259"/>
    <cellStyle name="Обычный 27 3 2 3" xfId="11260"/>
    <cellStyle name="Обычный 27 3 3" xfId="11261"/>
    <cellStyle name="Обычный 27 3 4" xfId="11262"/>
    <cellStyle name="Обычный 27 3 5" xfId="11263"/>
    <cellStyle name="Обычный 27 4" xfId="11264"/>
    <cellStyle name="Обычный 27 4 2" xfId="11265"/>
    <cellStyle name="Обычный 27 4 3" xfId="11266"/>
    <cellStyle name="Обычный 27 5" xfId="11267"/>
    <cellStyle name="Обычный 27 6" xfId="11268"/>
    <cellStyle name="Обычный 27 7" xfId="11269"/>
    <cellStyle name="Обычный 28" xfId="11270"/>
    <cellStyle name="Обычный 28 2" xfId="11271"/>
    <cellStyle name="Обычный 28 2 2" xfId="11272"/>
    <cellStyle name="Обычный 28 2 2 2" xfId="11273"/>
    <cellStyle name="Обычный 28 2 2 3" xfId="11274"/>
    <cellStyle name="Обычный 28 2 3" xfId="11275"/>
    <cellStyle name="Обычный 28 2 4" xfId="11276"/>
    <cellStyle name="Обычный 28 2 5" xfId="11277"/>
    <cellStyle name="Обычный 28 3" xfId="11278"/>
    <cellStyle name="Обычный 28 3 2" xfId="11279"/>
    <cellStyle name="Обычный 28 3 2 2" xfId="11280"/>
    <cellStyle name="Обычный 28 3 2 3" xfId="11281"/>
    <cellStyle name="Обычный 28 3 3" xfId="11282"/>
    <cellStyle name="Обычный 28 3 4" xfId="11283"/>
    <cellStyle name="Обычный 28 3 5" xfId="11284"/>
    <cellStyle name="Обычный 28 4" xfId="11285"/>
    <cellStyle name="Обычный 28 4 2" xfId="11286"/>
    <cellStyle name="Обычный 28 4 3" xfId="11287"/>
    <cellStyle name="Обычный 28 5" xfId="11288"/>
    <cellStyle name="Обычный 28 6" xfId="11289"/>
    <cellStyle name="Обычный 28 7" xfId="11290"/>
    <cellStyle name="Обычный 29" xfId="11291"/>
    <cellStyle name="Обычный 29 2" xfId="11292"/>
    <cellStyle name="Обычный 29 2 2" xfId="11293"/>
    <cellStyle name="Обычный 29 2 2 2" xfId="11294"/>
    <cellStyle name="Обычный 29 2 2 3" xfId="11295"/>
    <cellStyle name="Обычный 29 2 3" xfId="11296"/>
    <cellStyle name="Обычный 29 2 4" xfId="11297"/>
    <cellStyle name="Обычный 29 2 5" xfId="11298"/>
    <cellStyle name="Обычный 29 3" xfId="11299"/>
    <cellStyle name="Обычный 29 3 2" xfId="11300"/>
    <cellStyle name="Обычный 29 3 2 2" xfId="11301"/>
    <cellStyle name="Обычный 29 3 2 3" xfId="11302"/>
    <cellStyle name="Обычный 29 3 3" xfId="11303"/>
    <cellStyle name="Обычный 29 3 4" xfId="11304"/>
    <cellStyle name="Обычный 29 3 5" xfId="11305"/>
    <cellStyle name="Обычный 29 4" xfId="11306"/>
    <cellStyle name="Обычный 29 4 2" xfId="11307"/>
    <cellStyle name="Обычный 29 4 3" xfId="11308"/>
    <cellStyle name="Обычный 29 5" xfId="11309"/>
    <cellStyle name="Обычный 29 6" xfId="11310"/>
    <cellStyle name="Обычный 29 7" xfId="11311"/>
    <cellStyle name="Обычный 3" xfId="11312"/>
    <cellStyle name="Обычный 3 2" xfId="11313"/>
    <cellStyle name="Обычный 3 2 2" xfId="11314"/>
    <cellStyle name="Обычный 3 2 2 2" xfId="11315"/>
    <cellStyle name="Обычный 3 2 2 2 2" xfId="11316"/>
    <cellStyle name="Обычный 3 2 2 2 3" xfId="11317"/>
    <cellStyle name="Обычный 3 2 2 3" xfId="11318"/>
    <cellStyle name="Обычный 3 2 2 4" xfId="11319"/>
    <cellStyle name="Обычный 3 2 2 5" xfId="11320"/>
    <cellStyle name="Обычный 3 2 3" xfId="11321"/>
    <cellStyle name="Обычный 3 2 3 2" xfId="11322"/>
    <cellStyle name="Обычный 3 2 3 2 2" xfId="11323"/>
    <cellStyle name="Обычный 3 2 3 2 3" xfId="11324"/>
    <cellStyle name="Обычный 3 2 3 3" xfId="11325"/>
    <cellStyle name="Обычный 3 2 3 4" xfId="11326"/>
    <cellStyle name="Обычный 3 2 3 5" xfId="11327"/>
    <cellStyle name="Обычный 3 3" xfId="11328"/>
    <cellStyle name="Обычный 3 3 2" xfId="11329"/>
    <cellStyle name="Обычный 3 3 2 2" xfId="11330"/>
    <cellStyle name="Обычный 3 3 2 3" xfId="11331"/>
    <cellStyle name="Обычный 3 3 3" xfId="11332"/>
    <cellStyle name="Обычный 3 3 4" xfId="11333"/>
    <cellStyle name="Обычный 3 3_~0042442" xfId="11334"/>
    <cellStyle name="Обычный 3 4" xfId="11335"/>
    <cellStyle name="Обычный 3 4 2" xfId="11336"/>
    <cellStyle name="Обычный 3 4 2 2" xfId="11337"/>
    <cellStyle name="Обычный 3 4 2 3" xfId="11338"/>
    <cellStyle name="Обычный 3 4 3" xfId="11339"/>
    <cellStyle name="Обычный 3 4 4" xfId="11340"/>
    <cellStyle name="Обычный 3 4 5" xfId="11341"/>
    <cellStyle name="Обычный 3 5" xfId="11342"/>
    <cellStyle name="Обычный 3 5 2" xfId="11343"/>
    <cellStyle name="Обычный 3 5 2 2" xfId="11344"/>
    <cellStyle name="Обычный 3 5 2 3" xfId="11345"/>
    <cellStyle name="Обычный 3 5 3" xfId="11346"/>
    <cellStyle name="Обычный 3 5 4" xfId="11347"/>
    <cellStyle name="Обычный 3 5 5" xfId="11348"/>
    <cellStyle name="Обычный 3 6" xfId="11349"/>
    <cellStyle name="Обычный 3 6 2" xfId="11350"/>
    <cellStyle name="Обычный 3 7" xfId="11351"/>
    <cellStyle name="Обычный 3 8" xfId="11352"/>
    <cellStyle name="Обычный 3_~0042442" xfId="11353"/>
    <cellStyle name="Обычный 30" xfId="11354"/>
    <cellStyle name="Обычный 30 2" xfId="11355"/>
    <cellStyle name="Обычный 30 2 2" xfId="11356"/>
    <cellStyle name="Обычный 30 2 2 2" xfId="11357"/>
    <cellStyle name="Обычный 30 2 2 3" xfId="11358"/>
    <cellStyle name="Обычный 30 2 3" xfId="11359"/>
    <cellStyle name="Обычный 30 2 4" xfId="11360"/>
    <cellStyle name="Обычный 30 2 5" xfId="11361"/>
    <cellStyle name="Обычный 30 3" xfId="11362"/>
    <cellStyle name="Обычный 30 3 2" xfId="11363"/>
    <cellStyle name="Обычный 30 3 2 2" xfId="11364"/>
    <cellStyle name="Обычный 30 3 2 3" xfId="11365"/>
    <cellStyle name="Обычный 30 3 3" xfId="11366"/>
    <cellStyle name="Обычный 30 3 4" xfId="11367"/>
    <cellStyle name="Обычный 30 3 5" xfId="11368"/>
    <cellStyle name="Обычный 31" xfId="11369"/>
    <cellStyle name="Обычный 31 2" xfId="11370"/>
    <cellStyle name="Обычный 31 2 2" xfId="11371"/>
    <cellStyle name="Обычный 31 2 2 2" xfId="11372"/>
    <cellStyle name="Обычный 31 2 2 3" xfId="11373"/>
    <cellStyle name="Обычный 31 2 3" xfId="11374"/>
    <cellStyle name="Обычный 31 2 4" xfId="11375"/>
    <cellStyle name="Обычный 31 2 5" xfId="11376"/>
    <cellStyle name="Обычный 31 3" xfId="11377"/>
    <cellStyle name="Обычный 31 3 2" xfId="11378"/>
    <cellStyle name="Обычный 31 3 2 2" xfId="11379"/>
    <cellStyle name="Обычный 31 3 2 3" xfId="11380"/>
    <cellStyle name="Обычный 31 3 3" xfId="11381"/>
    <cellStyle name="Обычный 31 3 4" xfId="11382"/>
    <cellStyle name="Обычный 31 3 5" xfId="11383"/>
    <cellStyle name="Обычный 31 4" xfId="11384"/>
    <cellStyle name="Обычный 31 4 2" xfId="11385"/>
    <cellStyle name="Обычный 31 4 3" xfId="11386"/>
    <cellStyle name="Обычный 31 5" xfId="11387"/>
    <cellStyle name="Обычный 31 6" xfId="11388"/>
    <cellStyle name="Обычный 31 7" xfId="11389"/>
    <cellStyle name="Обычный 32" xfId="11390"/>
    <cellStyle name="Обычный 32 2" xfId="11391"/>
    <cellStyle name="Обычный 32 2 2" xfId="11392"/>
    <cellStyle name="Обычный 32 2 2 2" xfId="11393"/>
    <cellStyle name="Обычный 32 2 2 3" xfId="11394"/>
    <cellStyle name="Обычный 32 2 3" xfId="11395"/>
    <cellStyle name="Обычный 32 2 4" xfId="11396"/>
    <cellStyle name="Обычный 32 2 5" xfId="11397"/>
    <cellStyle name="Обычный 32 3" xfId="11398"/>
    <cellStyle name="Обычный 32 3 2" xfId="11399"/>
    <cellStyle name="Обычный 32 3 2 2" xfId="11400"/>
    <cellStyle name="Обычный 32 3 2 3" xfId="11401"/>
    <cellStyle name="Обычный 32 3 3" xfId="11402"/>
    <cellStyle name="Обычный 32 3 4" xfId="11403"/>
    <cellStyle name="Обычный 32 3 5" xfId="11404"/>
    <cellStyle name="Обычный 33" xfId="11405"/>
    <cellStyle name="Обычный 33 2" xfId="11406"/>
    <cellStyle name="Обычный 33 2 2" xfId="11407"/>
    <cellStyle name="Обычный 33 2 2 2" xfId="11408"/>
    <cellStyle name="Обычный 33 2 2 3" xfId="11409"/>
    <cellStyle name="Обычный 33 2 3" xfId="11410"/>
    <cellStyle name="Обычный 33 2 4" xfId="11411"/>
    <cellStyle name="Обычный 33 2 5" xfId="11412"/>
    <cellStyle name="Обычный 33 3" xfId="11413"/>
    <cellStyle name="Обычный 33 3 2" xfId="11414"/>
    <cellStyle name="Обычный 33 3 2 2" xfId="11415"/>
    <cellStyle name="Обычный 33 3 2 3" xfId="11416"/>
    <cellStyle name="Обычный 33 3 3" xfId="11417"/>
    <cellStyle name="Обычный 33 3 4" xfId="11418"/>
    <cellStyle name="Обычный 33 3 5" xfId="11419"/>
    <cellStyle name="Обычный 33 4" xfId="11420"/>
    <cellStyle name="Обычный 33 4 2" xfId="11421"/>
    <cellStyle name="Обычный 33 4 3" xfId="11422"/>
    <cellStyle name="Обычный 33 5" xfId="11423"/>
    <cellStyle name="Обычный 33 6" xfId="11424"/>
    <cellStyle name="Обычный 33 7" xfId="11425"/>
    <cellStyle name="Обычный 34" xfId="11426"/>
    <cellStyle name="Обычный 34 2" xfId="11427"/>
    <cellStyle name="Обычный 34 2 2" xfId="11428"/>
    <cellStyle name="Обычный 34 2 2 2" xfId="11429"/>
    <cellStyle name="Обычный 34 2 2 3" xfId="11430"/>
    <cellStyle name="Обычный 34 2 3" xfId="11431"/>
    <cellStyle name="Обычный 34 2 4" xfId="11432"/>
    <cellStyle name="Обычный 34 2 5" xfId="11433"/>
    <cellStyle name="Обычный 34 3" xfId="11434"/>
    <cellStyle name="Обычный 34 3 2" xfId="11435"/>
    <cellStyle name="Обычный 34 3 2 2" xfId="11436"/>
    <cellStyle name="Обычный 34 3 2 3" xfId="11437"/>
    <cellStyle name="Обычный 34 3 3" xfId="11438"/>
    <cellStyle name="Обычный 34 3 4" xfId="11439"/>
    <cellStyle name="Обычный 34 3 5" xfId="11440"/>
    <cellStyle name="Обычный 35" xfId="11441"/>
    <cellStyle name="Обычный 35 2" xfId="11442"/>
    <cellStyle name="Обычный 35 2 2" xfId="11443"/>
    <cellStyle name="Обычный 35 2 2 2" xfId="11444"/>
    <cellStyle name="Обычный 35 2 2 3" xfId="11445"/>
    <cellStyle name="Обычный 35 2 3" xfId="11446"/>
    <cellStyle name="Обычный 35 2 4" xfId="11447"/>
    <cellStyle name="Обычный 35 2 5" xfId="11448"/>
    <cellStyle name="Обычный 35 3" xfId="11449"/>
    <cellStyle name="Обычный 35 3 2" xfId="11450"/>
    <cellStyle name="Обычный 35 3 2 2" xfId="11451"/>
    <cellStyle name="Обычный 35 3 2 3" xfId="11452"/>
    <cellStyle name="Обычный 35 3 3" xfId="11453"/>
    <cellStyle name="Обычный 35 3 4" xfId="11454"/>
    <cellStyle name="Обычный 35 3 5" xfId="11455"/>
    <cellStyle name="Обычный 35 4" xfId="11456"/>
    <cellStyle name="Обычный 35 4 2" xfId="11457"/>
    <cellStyle name="Обычный 35 4 3" xfId="11458"/>
    <cellStyle name="Обычный 35 5" xfId="11459"/>
    <cellStyle name="Обычный 35 6" xfId="11460"/>
    <cellStyle name="Обычный 35 7" xfId="11461"/>
    <cellStyle name="Обычный 36" xfId="11462"/>
    <cellStyle name="Обычный 36 2" xfId="11463"/>
    <cellStyle name="Обычный 36 2 2" xfId="11464"/>
    <cellStyle name="Обычный 36 2 2 2" xfId="11465"/>
    <cellStyle name="Обычный 36 2 2 3" xfId="11466"/>
    <cellStyle name="Обычный 36 2 3" xfId="11467"/>
    <cellStyle name="Обычный 36 2 4" xfId="11468"/>
    <cellStyle name="Обычный 36 2 5" xfId="11469"/>
    <cellStyle name="Обычный 36 3" xfId="11470"/>
    <cellStyle name="Обычный 36 3 2" xfId="11471"/>
    <cellStyle name="Обычный 36 3 2 2" xfId="11472"/>
    <cellStyle name="Обычный 36 3 2 3" xfId="11473"/>
    <cellStyle name="Обычный 36 3 3" xfId="11474"/>
    <cellStyle name="Обычный 36 3 4" xfId="11475"/>
    <cellStyle name="Обычный 36 3 5" xfId="11476"/>
    <cellStyle name="Обычный 36 4" xfId="11477"/>
    <cellStyle name="Обычный 36 4 2" xfId="11478"/>
    <cellStyle name="Обычный 36 4 3" xfId="11479"/>
    <cellStyle name="Обычный 36 5" xfId="11480"/>
    <cellStyle name="Обычный 36 6" xfId="11481"/>
    <cellStyle name="Обычный 36 7" xfId="11482"/>
    <cellStyle name="Обычный 37" xfId="11483"/>
    <cellStyle name="Обычный 37 2" xfId="11484"/>
    <cellStyle name="Обычный 37 2 2" xfId="11485"/>
    <cellStyle name="Обычный 37 2 2 2" xfId="11486"/>
    <cellStyle name="Обычный 37 2 2 3" xfId="11487"/>
    <cellStyle name="Обычный 37 2 3" xfId="11488"/>
    <cellStyle name="Обычный 37 2 4" xfId="11489"/>
    <cellStyle name="Обычный 37 2 5" xfId="11490"/>
    <cellStyle name="Обычный 37 3" xfId="11491"/>
    <cellStyle name="Обычный 37 3 2" xfId="11492"/>
    <cellStyle name="Обычный 37 3 2 2" xfId="11493"/>
    <cellStyle name="Обычный 37 3 2 3" xfId="11494"/>
    <cellStyle name="Обычный 37 3 3" xfId="11495"/>
    <cellStyle name="Обычный 37 3 4" xfId="11496"/>
    <cellStyle name="Обычный 37 3 5" xfId="11497"/>
    <cellStyle name="Обычный 38" xfId="11498"/>
    <cellStyle name="Обычный 38 2" xfId="11499"/>
    <cellStyle name="Обычный 38 2 2" xfId="11500"/>
    <cellStyle name="Обычный 38 2 2 2" xfId="11501"/>
    <cellStyle name="Обычный 38 2 2 3" xfId="11502"/>
    <cellStyle name="Обычный 38 2 3" xfId="11503"/>
    <cellStyle name="Обычный 38 2 4" xfId="11504"/>
    <cellStyle name="Обычный 38 2 5" xfId="11505"/>
    <cellStyle name="Обычный 38 3" xfId="11506"/>
    <cellStyle name="Обычный 38 3 2" xfId="11507"/>
    <cellStyle name="Обычный 38 3 2 2" xfId="11508"/>
    <cellStyle name="Обычный 38 3 2 3" xfId="11509"/>
    <cellStyle name="Обычный 38 3 3" xfId="11510"/>
    <cellStyle name="Обычный 38 3 4" xfId="11511"/>
    <cellStyle name="Обычный 38 3 5" xfId="11512"/>
    <cellStyle name="Обычный 38 4" xfId="11513"/>
    <cellStyle name="Обычный 38 4 2" xfId="11514"/>
    <cellStyle name="Обычный 38 4 3" xfId="11515"/>
    <cellStyle name="Обычный 38 5" xfId="11516"/>
    <cellStyle name="Обычный 38 6" xfId="11517"/>
    <cellStyle name="Обычный 38 7" xfId="11518"/>
    <cellStyle name="Обычный 39" xfId="11519"/>
    <cellStyle name="Обычный 39 2" xfId="11520"/>
    <cellStyle name="Обычный 39 2 2" xfId="11521"/>
    <cellStyle name="Обычный 39 2 2 2" xfId="11522"/>
    <cellStyle name="Обычный 39 2 2 3" xfId="11523"/>
    <cellStyle name="Обычный 39 2 3" xfId="11524"/>
    <cellStyle name="Обычный 39 2 4" xfId="11525"/>
    <cellStyle name="Обычный 39 2 5" xfId="11526"/>
    <cellStyle name="Обычный 39 3" xfId="11527"/>
    <cellStyle name="Обычный 39 3 2" xfId="11528"/>
    <cellStyle name="Обычный 39 3 2 2" xfId="11529"/>
    <cellStyle name="Обычный 39 3 2 3" xfId="11530"/>
    <cellStyle name="Обычный 39 3 3" xfId="11531"/>
    <cellStyle name="Обычный 39 3 4" xfId="11532"/>
    <cellStyle name="Обычный 39 3 5" xfId="11533"/>
    <cellStyle name="Обычный 4" xfId="11534"/>
    <cellStyle name="Обычный 4 2" xfId="11535"/>
    <cellStyle name="Обычный 4 2 2" xfId="11536"/>
    <cellStyle name="Обычный 4 2 2 2" xfId="11537"/>
    <cellStyle name="Обычный 4 2 3" xfId="11538"/>
    <cellStyle name="Обычный 4 2 4" xfId="11539"/>
    <cellStyle name="Обычный 4 2 5" xfId="11540"/>
    <cellStyle name="Обычный 4 2_46EP.2012(v0.1)" xfId="11541"/>
    <cellStyle name="Обычный 4 3" xfId="11542"/>
    <cellStyle name="Обычный 4 3 2" xfId="11543"/>
    <cellStyle name="Обычный 4 3 2 2" xfId="11544"/>
    <cellStyle name="Обычный 4 3 2 2 2" xfId="11545"/>
    <cellStyle name="Обычный 4 3 2 2 2 2" xfId="11546"/>
    <cellStyle name="Обычный 4 3 2 2 2 3" xfId="11547"/>
    <cellStyle name="Обычный 4 3 2 2 3" xfId="11548"/>
    <cellStyle name="Обычный 4 3 2 2 4" xfId="11549"/>
    <cellStyle name="Обычный 4 3 2 2 5" xfId="11550"/>
    <cellStyle name="Обычный 4 3 2 3" xfId="11551"/>
    <cellStyle name="Обычный 4 3 2 3 2" xfId="11552"/>
    <cellStyle name="Обычный 4 3 2 3 2 2" xfId="11553"/>
    <cellStyle name="Обычный 4 3 2 3 2 2 2" xfId="11554"/>
    <cellStyle name="Обычный 4 3 2 3 2 2 3" xfId="11555"/>
    <cellStyle name="Обычный 4 3 2 3 2 3" xfId="11556"/>
    <cellStyle name="Обычный 4 3 2 3 2 4" xfId="11557"/>
    <cellStyle name="Обычный 4 3 2 3 2 5" xfId="11558"/>
    <cellStyle name="Обычный 4 3 2 3 3" xfId="11559"/>
    <cellStyle name="Обычный 4 3 2 3 3 2" xfId="11560"/>
    <cellStyle name="Обычный 4 3 2 3 3 3" xfId="11561"/>
    <cellStyle name="Обычный 4 3 2 3 4" xfId="11562"/>
    <cellStyle name="Обычный 4 3 2 3 5" xfId="11563"/>
    <cellStyle name="Обычный 4 3 2 3 6" xfId="11564"/>
    <cellStyle name="Обычный 4 3 2 4" xfId="11565"/>
    <cellStyle name="Обычный 4 3 2 4 2" xfId="11566"/>
    <cellStyle name="Обычный 4 3 2 4 3" xfId="11567"/>
    <cellStyle name="Обычный 4 3 2 5" xfId="11568"/>
    <cellStyle name="Обычный 4 3 2 6" xfId="11569"/>
    <cellStyle name="Обычный 4 3 2 7" xfId="11570"/>
    <cellStyle name="Обычный 4 3 3" xfId="11571"/>
    <cellStyle name="Обычный 4 3 3 2" xfId="11572"/>
    <cellStyle name="Обычный 4 3 3 2 2" xfId="11573"/>
    <cellStyle name="Обычный 4 3 3 2 3" xfId="11574"/>
    <cellStyle name="Обычный 4 3 3 3" xfId="11575"/>
    <cellStyle name="Обычный 4 3 3 4" xfId="11576"/>
    <cellStyle name="Обычный 4 3 3 5" xfId="11577"/>
    <cellStyle name="Обычный 4 3 4" xfId="11578"/>
    <cellStyle name="Обычный 4 3 4 2" xfId="11579"/>
    <cellStyle name="Обычный 4 3 4 2 2" xfId="11580"/>
    <cellStyle name="Обычный 4 3 4 2 3" xfId="11581"/>
    <cellStyle name="Обычный 4 3 4 3" xfId="11582"/>
    <cellStyle name="Обычный 4 3 4 4" xfId="11583"/>
    <cellStyle name="Обычный 4 3 4 5" xfId="11584"/>
    <cellStyle name="Обычный 4 3 5" xfId="11585"/>
    <cellStyle name="Обычный 4 3 5 2" xfId="11586"/>
    <cellStyle name="Обычный 4 3 5 3" xfId="11587"/>
    <cellStyle name="Обычный 4 3 6" xfId="11588"/>
    <cellStyle name="Обычный 4 3 7" xfId="11589"/>
    <cellStyle name="Обычный 4 3 8" xfId="11590"/>
    <cellStyle name="Обычный 4 3_Екатеринбургский_утвержденный" xfId="11591"/>
    <cellStyle name="Обычный 4 4" xfId="11592"/>
    <cellStyle name="Обычный 4 4 2" xfId="11593"/>
    <cellStyle name="Обычный 4 4 2 2" xfId="11594"/>
    <cellStyle name="Обычный 4 4 3" xfId="11595"/>
    <cellStyle name="Обычный 4 5" xfId="11596"/>
    <cellStyle name="Обычный 4 5 2" xfId="11597"/>
    <cellStyle name="Обычный 4 6" xfId="11598"/>
    <cellStyle name="Обычный 4 6 2" xfId="11599"/>
    <cellStyle name="Обычный 4 7" xfId="11600"/>
    <cellStyle name="Обычный 4_ARMRAZR" xfId="11601"/>
    <cellStyle name="Обычный 40" xfId="11602"/>
    <cellStyle name="Обычный 40 2" xfId="11603"/>
    <cellStyle name="Обычный 40 2 2" xfId="11604"/>
    <cellStyle name="Обычный 40 2 2 2" xfId="11605"/>
    <cellStyle name="Обычный 40 2 2 3" xfId="11606"/>
    <cellStyle name="Обычный 40 2 3" xfId="11607"/>
    <cellStyle name="Обычный 40 2 4" xfId="11608"/>
    <cellStyle name="Обычный 40 2 5" xfId="11609"/>
    <cellStyle name="Обычный 40 3" xfId="11610"/>
    <cellStyle name="Обычный 40 3 2" xfId="11611"/>
    <cellStyle name="Обычный 40 3 2 2" xfId="11612"/>
    <cellStyle name="Обычный 40 3 2 3" xfId="11613"/>
    <cellStyle name="Обычный 40 3 3" xfId="11614"/>
    <cellStyle name="Обычный 40 3 4" xfId="11615"/>
    <cellStyle name="Обычный 40 3 5" xfId="11616"/>
    <cellStyle name="Обычный 41" xfId="11617"/>
    <cellStyle name="Обычный 41 2" xfId="11618"/>
    <cellStyle name="Обычный 41 2 2" xfId="11619"/>
    <cellStyle name="Обычный 41 2 2 2" xfId="11620"/>
    <cellStyle name="Обычный 41 2 2 3" xfId="11621"/>
    <cellStyle name="Обычный 41 2 3" xfId="11622"/>
    <cellStyle name="Обычный 41 2 4" xfId="11623"/>
    <cellStyle name="Обычный 41 2 5" xfId="11624"/>
    <cellStyle name="Обычный 41 3" xfId="11625"/>
    <cellStyle name="Обычный 41 3 2" xfId="11626"/>
    <cellStyle name="Обычный 41 3 2 2" xfId="11627"/>
    <cellStyle name="Обычный 41 3 2 3" xfId="11628"/>
    <cellStyle name="Обычный 41 3 3" xfId="11629"/>
    <cellStyle name="Обычный 41 3 4" xfId="11630"/>
    <cellStyle name="Обычный 41 3 5" xfId="11631"/>
    <cellStyle name="Обычный 41 4" xfId="11632"/>
    <cellStyle name="Обычный 41 4 2" xfId="11633"/>
    <cellStyle name="Обычный 41 4 3" xfId="11634"/>
    <cellStyle name="Обычный 41 5" xfId="11635"/>
    <cellStyle name="Обычный 41 6" xfId="11636"/>
    <cellStyle name="Обычный 41 7" xfId="11637"/>
    <cellStyle name="Обычный 42" xfId="11638"/>
    <cellStyle name="Обычный 42 2" xfId="11639"/>
    <cellStyle name="Обычный 42 2 2" xfId="11640"/>
    <cellStyle name="Обычный 42 2 2 2" xfId="11641"/>
    <cellStyle name="Обычный 42 2 2 3" xfId="11642"/>
    <cellStyle name="Обычный 42 2 3" xfId="11643"/>
    <cellStyle name="Обычный 42 2 4" xfId="11644"/>
    <cellStyle name="Обычный 42 2 5" xfId="11645"/>
    <cellStyle name="Обычный 42 3" xfId="11646"/>
    <cellStyle name="Обычный 42 3 2" xfId="11647"/>
    <cellStyle name="Обычный 42 3 2 2" xfId="11648"/>
    <cellStyle name="Обычный 42 3 2 3" xfId="11649"/>
    <cellStyle name="Обычный 42 3 3" xfId="11650"/>
    <cellStyle name="Обычный 42 3 4" xfId="11651"/>
    <cellStyle name="Обычный 42 3 5" xfId="11652"/>
    <cellStyle name="Обычный 42 4" xfId="11653"/>
    <cellStyle name="Обычный 42 4 2" xfId="11654"/>
    <cellStyle name="Обычный 42 4 3" xfId="11655"/>
    <cellStyle name="Обычный 42 5" xfId="11656"/>
    <cellStyle name="Обычный 42 6" xfId="11657"/>
    <cellStyle name="Обычный 42 7" xfId="11658"/>
    <cellStyle name="Обычный 43" xfId="11659"/>
    <cellStyle name="Обычный 43 2" xfId="11660"/>
    <cellStyle name="Обычный 43 2 2" xfId="11661"/>
    <cellStyle name="Обычный 43 2 2 2" xfId="11662"/>
    <cellStyle name="Обычный 43 2 2 3" xfId="11663"/>
    <cellStyle name="Обычный 43 2 3" xfId="11664"/>
    <cellStyle name="Обычный 43 2 4" xfId="11665"/>
    <cellStyle name="Обычный 43 2 5" xfId="11666"/>
    <cellStyle name="Обычный 43 3" xfId="11667"/>
    <cellStyle name="Обычный 43 3 2" xfId="11668"/>
    <cellStyle name="Обычный 43 3 2 2" xfId="11669"/>
    <cellStyle name="Обычный 43 3 2 3" xfId="11670"/>
    <cellStyle name="Обычный 43 3 3" xfId="11671"/>
    <cellStyle name="Обычный 43 3 4" xfId="11672"/>
    <cellStyle name="Обычный 43 3 5" xfId="11673"/>
    <cellStyle name="Обычный 43 4" xfId="11674"/>
    <cellStyle name="Обычный 43 4 2" xfId="11675"/>
    <cellStyle name="Обычный 43 4 3" xfId="11676"/>
    <cellStyle name="Обычный 43 5" xfId="11677"/>
    <cellStyle name="Обычный 43 6" xfId="11678"/>
    <cellStyle name="Обычный 43 7" xfId="11679"/>
    <cellStyle name="Обычный 44" xfId="11680"/>
    <cellStyle name="Обычный 44 2" xfId="11681"/>
    <cellStyle name="Обычный 44 2 2" xfId="11682"/>
    <cellStyle name="Обычный 44 2 2 2" xfId="11683"/>
    <cellStyle name="Обычный 44 2 2 3" xfId="11684"/>
    <cellStyle name="Обычный 44 2 3" xfId="11685"/>
    <cellStyle name="Обычный 44 2 4" xfId="11686"/>
    <cellStyle name="Обычный 44 2 5" xfId="11687"/>
    <cellStyle name="Обычный 44 3" xfId="11688"/>
    <cellStyle name="Обычный 44 3 2" xfId="11689"/>
    <cellStyle name="Обычный 44 3 2 2" xfId="11690"/>
    <cellStyle name="Обычный 44 3 2 3" xfId="11691"/>
    <cellStyle name="Обычный 44 3 3" xfId="11692"/>
    <cellStyle name="Обычный 44 3 4" xfId="11693"/>
    <cellStyle name="Обычный 44 3 5" xfId="11694"/>
    <cellStyle name="Обычный 44 4" xfId="11695"/>
    <cellStyle name="Обычный 44 4 2" xfId="11696"/>
    <cellStyle name="Обычный 44 4 3" xfId="11697"/>
    <cellStyle name="Обычный 44 5" xfId="11698"/>
    <cellStyle name="Обычный 44 6" xfId="11699"/>
    <cellStyle name="Обычный 44 7" xfId="11700"/>
    <cellStyle name="Обычный 45" xfId="11701"/>
    <cellStyle name="Обычный 45 2" xfId="11702"/>
    <cellStyle name="Обычный 45 2 2" xfId="11703"/>
    <cellStyle name="Обычный 45 2 2 2" xfId="11704"/>
    <cellStyle name="Обычный 45 2 2 3" xfId="11705"/>
    <cellStyle name="Обычный 45 2 3" xfId="11706"/>
    <cellStyle name="Обычный 45 2 4" xfId="11707"/>
    <cellStyle name="Обычный 45 2 5" xfId="11708"/>
    <cellStyle name="Обычный 45 3" xfId="11709"/>
    <cellStyle name="Обычный 45 3 2" xfId="11710"/>
    <cellStyle name="Обычный 45 3 2 2" xfId="11711"/>
    <cellStyle name="Обычный 45 3 2 3" xfId="11712"/>
    <cellStyle name="Обычный 45 3 3" xfId="11713"/>
    <cellStyle name="Обычный 45 3 4" xfId="11714"/>
    <cellStyle name="Обычный 45 3 5" xfId="11715"/>
    <cellStyle name="Обычный 45 4" xfId="11716"/>
    <cellStyle name="Обычный 45 4 2" xfId="11717"/>
    <cellStyle name="Обычный 45 4 3" xfId="11718"/>
    <cellStyle name="Обычный 45 5" xfId="11719"/>
    <cellStyle name="Обычный 45 6" xfId="11720"/>
    <cellStyle name="Обычный 45 7" xfId="11721"/>
    <cellStyle name="Обычный 46" xfId="11722"/>
    <cellStyle name="Обычный 46 2" xfId="11723"/>
    <cellStyle name="Обычный 46 2 2" xfId="11724"/>
    <cellStyle name="Обычный 46 2 2 2" xfId="11725"/>
    <cellStyle name="Обычный 46 2 2 3" xfId="11726"/>
    <cellStyle name="Обычный 46 2 3" xfId="11727"/>
    <cellStyle name="Обычный 46 2 4" xfId="11728"/>
    <cellStyle name="Обычный 46 2 5" xfId="11729"/>
    <cellStyle name="Обычный 46 3" xfId="11730"/>
    <cellStyle name="Обычный 46 3 2" xfId="11731"/>
    <cellStyle name="Обычный 46 3 2 2" xfId="11732"/>
    <cellStyle name="Обычный 46 3 2 3" xfId="11733"/>
    <cellStyle name="Обычный 46 3 3" xfId="11734"/>
    <cellStyle name="Обычный 46 3 4" xfId="11735"/>
    <cellStyle name="Обычный 46 3 5" xfId="11736"/>
    <cellStyle name="Обычный 46 4" xfId="11737"/>
    <cellStyle name="Обычный 46 4 2" xfId="11738"/>
    <cellStyle name="Обычный 46 4 3" xfId="11739"/>
    <cellStyle name="Обычный 46 5" xfId="11740"/>
    <cellStyle name="Обычный 46 6" xfId="11741"/>
    <cellStyle name="Обычный 46 7" xfId="11742"/>
    <cellStyle name="Обычный 47" xfId="11743"/>
    <cellStyle name="Обычный 47 2" xfId="11744"/>
    <cellStyle name="Обычный 47 2 2" xfId="11745"/>
    <cellStyle name="Обычный 47 2 2 2" xfId="11746"/>
    <cellStyle name="Обычный 47 2 2 3" xfId="11747"/>
    <cellStyle name="Обычный 47 2 3" xfId="11748"/>
    <cellStyle name="Обычный 47 2 4" xfId="11749"/>
    <cellStyle name="Обычный 47 2 5" xfId="11750"/>
    <cellStyle name="Обычный 47 3" xfId="11751"/>
    <cellStyle name="Обычный 47 3 2" xfId="11752"/>
    <cellStyle name="Обычный 47 3 2 2" xfId="11753"/>
    <cellStyle name="Обычный 47 3 2 3" xfId="11754"/>
    <cellStyle name="Обычный 47 3 3" xfId="11755"/>
    <cellStyle name="Обычный 47 3 4" xfId="11756"/>
    <cellStyle name="Обычный 47 3 5" xfId="11757"/>
    <cellStyle name="Обычный 47 4" xfId="11758"/>
    <cellStyle name="Обычный 47 4 2" xfId="11759"/>
    <cellStyle name="Обычный 47 4 3" xfId="11760"/>
    <cellStyle name="Обычный 47 5" xfId="11761"/>
    <cellStyle name="Обычный 47 6" xfId="11762"/>
    <cellStyle name="Обычный 47 7" xfId="11763"/>
    <cellStyle name="Обычный 48" xfId="11764"/>
    <cellStyle name="Обычный 48 2" xfId="11765"/>
    <cellStyle name="Обычный 48 2 2" xfId="11766"/>
    <cellStyle name="Обычный 48 2 2 2" xfId="11767"/>
    <cellStyle name="Обычный 48 2 2 3" xfId="11768"/>
    <cellStyle name="Обычный 48 2 3" xfId="11769"/>
    <cellStyle name="Обычный 48 2 4" xfId="11770"/>
    <cellStyle name="Обычный 48 2 5" xfId="11771"/>
    <cellStyle name="Обычный 48 3" xfId="11772"/>
    <cellStyle name="Обычный 48 3 2" xfId="11773"/>
    <cellStyle name="Обычный 48 3 2 2" xfId="11774"/>
    <cellStyle name="Обычный 48 3 2 3" xfId="11775"/>
    <cellStyle name="Обычный 48 3 3" xfId="11776"/>
    <cellStyle name="Обычный 48 3 4" xfId="11777"/>
    <cellStyle name="Обычный 48 3 5" xfId="11778"/>
    <cellStyle name="Обычный 49" xfId="11779"/>
    <cellStyle name="Обычный 49 2" xfId="11780"/>
    <cellStyle name="Обычный 49 2 2" xfId="11781"/>
    <cellStyle name="Обычный 49 2 2 2" xfId="11782"/>
    <cellStyle name="Обычный 49 2 2 3" xfId="11783"/>
    <cellStyle name="Обычный 49 2 3" xfId="11784"/>
    <cellStyle name="Обычный 49 2 4" xfId="11785"/>
    <cellStyle name="Обычный 49 2 5" xfId="11786"/>
    <cellStyle name="Обычный 49 3" xfId="11787"/>
    <cellStyle name="Обычный 49 3 2" xfId="11788"/>
    <cellStyle name="Обычный 49 3 2 2" xfId="11789"/>
    <cellStyle name="Обычный 49 3 2 3" xfId="11790"/>
    <cellStyle name="Обычный 49 3 3" xfId="11791"/>
    <cellStyle name="Обычный 49 3 4" xfId="11792"/>
    <cellStyle name="Обычный 49 3 5" xfId="11793"/>
    <cellStyle name="Обычный 49 4" xfId="11794"/>
    <cellStyle name="Обычный 49 4 2" xfId="11795"/>
    <cellStyle name="Обычный 49 4 3" xfId="11796"/>
    <cellStyle name="Обычный 49 5" xfId="11797"/>
    <cellStyle name="Обычный 49 6" xfId="11798"/>
    <cellStyle name="Обычный 49 7" xfId="11799"/>
    <cellStyle name="Обычный 5" xfId="11800"/>
    <cellStyle name="Обычный 5 2" xfId="11801"/>
    <cellStyle name="Обычный 5 2 2" xfId="11802"/>
    <cellStyle name="Обычный 5 3" xfId="11803"/>
    <cellStyle name="Обычный 5 3 2" xfId="11804"/>
    <cellStyle name="Обычный 5 3 3" xfId="11805"/>
    <cellStyle name="Обычный 5 3 4" xfId="11806"/>
    <cellStyle name="Обычный 5 4" xfId="11807"/>
    <cellStyle name="Обычный 5 4 2" xfId="11808"/>
    <cellStyle name="Обычный 5 4 3" xfId="11809"/>
    <cellStyle name="Обычный 5 4 4" xfId="11810"/>
    <cellStyle name="Обычный 5 5" xfId="11811"/>
    <cellStyle name="Обычный 5 6" xfId="11812"/>
    <cellStyle name="Обычный 5 7" xfId="11813"/>
    <cellStyle name="Обычный 50" xfId="11814"/>
    <cellStyle name="Обычный 50 2" xfId="11815"/>
    <cellStyle name="Обычный 50 2 2" xfId="11816"/>
    <cellStyle name="Обычный 50 2 2 2" xfId="11817"/>
    <cellStyle name="Обычный 50 2 2 3" xfId="11818"/>
    <cellStyle name="Обычный 50 2 3" xfId="11819"/>
    <cellStyle name="Обычный 50 2 4" xfId="11820"/>
    <cellStyle name="Обычный 50 2 5" xfId="11821"/>
    <cellStyle name="Обычный 50 3" xfId="11822"/>
    <cellStyle name="Обычный 50 3 2" xfId="11823"/>
    <cellStyle name="Обычный 50 3 2 2" xfId="11824"/>
    <cellStyle name="Обычный 50 3 2 3" xfId="11825"/>
    <cellStyle name="Обычный 50 3 3" xfId="11826"/>
    <cellStyle name="Обычный 50 3 4" xfId="11827"/>
    <cellStyle name="Обычный 50 3 5" xfId="11828"/>
    <cellStyle name="Обычный 51" xfId="11829"/>
    <cellStyle name="Обычный 51 2" xfId="11830"/>
    <cellStyle name="Обычный 51 2 2" xfId="11831"/>
    <cellStyle name="Обычный 51 2 2 2" xfId="11832"/>
    <cellStyle name="Обычный 51 2 2 3" xfId="11833"/>
    <cellStyle name="Обычный 51 2 3" xfId="11834"/>
    <cellStyle name="Обычный 51 2 4" xfId="11835"/>
    <cellStyle name="Обычный 51 2 5" xfId="11836"/>
    <cellStyle name="Обычный 51 3" xfId="11837"/>
    <cellStyle name="Обычный 51 3 2" xfId="11838"/>
    <cellStyle name="Обычный 51 3 2 2" xfId="11839"/>
    <cellStyle name="Обычный 51 3 2 3" xfId="11840"/>
    <cellStyle name="Обычный 51 3 3" xfId="11841"/>
    <cellStyle name="Обычный 51 3 4" xfId="11842"/>
    <cellStyle name="Обычный 51 3 5" xfId="11843"/>
    <cellStyle name="Обычный 51 4" xfId="11844"/>
    <cellStyle name="Обычный 51 4 2" xfId="11845"/>
    <cellStyle name="Обычный 51 4 3" xfId="11846"/>
    <cellStyle name="Обычный 51 5" xfId="11847"/>
    <cellStyle name="Обычный 51 6" xfId="11848"/>
    <cellStyle name="Обычный 51 7" xfId="11849"/>
    <cellStyle name="Обычный 52" xfId="11850"/>
    <cellStyle name="Обычный 52 2" xfId="11851"/>
    <cellStyle name="Обычный 52 2 2" xfId="11852"/>
    <cellStyle name="Обычный 52 2 2 2" xfId="11853"/>
    <cellStyle name="Обычный 52 2 2 3" xfId="11854"/>
    <cellStyle name="Обычный 52 2 3" xfId="11855"/>
    <cellStyle name="Обычный 52 2 4" xfId="11856"/>
    <cellStyle name="Обычный 52 2 5" xfId="11857"/>
    <cellStyle name="Обычный 52 3" xfId="11858"/>
    <cellStyle name="Обычный 52 3 2" xfId="11859"/>
    <cellStyle name="Обычный 52 3 2 2" xfId="11860"/>
    <cellStyle name="Обычный 52 3 2 3" xfId="11861"/>
    <cellStyle name="Обычный 52 3 3" xfId="11862"/>
    <cellStyle name="Обычный 52 3 4" xfId="11863"/>
    <cellStyle name="Обычный 52 3 5" xfId="11864"/>
    <cellStyle name="Обычный 53" xfId="11865"/>
    <cellStyle name="Обычный 53 2" xfId="11866"/>
    <cellStyle name="Обычный 53 2 2" xfId="11867"/>
    <cellStyle name="Обычный 53 2 2 2" xfId="11868"/>
    <cellStyle name="Обычный 53 2 2 3" xfId="11869"/>
    <cellStyle name="Обычный 53 2 3" xfId="11870"/>
    <cellStyle name="Обычный 53 2 4" xfId="11871"/>
    <cellStyle name="Обычный 53 2 5" xfId="11872"/>
    <cellStyle name="Обычный 53 3" xfId="11873"/>
    <cellStyle name="Обычный 53 3 2" xfId="11874"/>
    <cellStyle name="Обычный 53 3 2 2" xfId="11875"/>
    <cellStyle name="Обычный 53 3 2 3" xfId="11876"/>
    <cellStyle name="Обычный 53 3 3" xfId="11877"/>
    <cellStyle name="Обычный 53 3 4" xfId="11878"/>
    <cellStyle name="Обычный 53 3 5" xfId="11879"/>
    <cellStyle name="Обычный 54" xfId="11880"/>
    <cellStyle name="Обычный 54 2" xfId="11881"/>
    <cellStyle name="Обычный 54 2 2" xfId="11882"/>
    <cellStyle name="Обычный 54 2 2 2" xfId="11883"/>
    <cellStyle name="Обычный 54 2 2 3" xfId="11884"/>
    <cellStyle name="Обычный 54 2 3" xfId="11885"/>
    <cellStyle name="Обычный 54 2 4" xfId="11886"/>
    <cellStyle name="Обычный 54 2 5" xfId="11887"/>
    <cellStyle name="Обычный 54 3" xfId="11888"/>
    <cellStyle name="Обычный 54 3 2" xfId="11889"/>
    <cellStyle name="Обычный 54 3 2 2" xfId="11890"/>
    <cellStyle name="Обычный 54 3 2 3" xfId="11891"/>
    <cellStyle name="Обычный 54 3 3" xfId="11892"/>
    <cellStyle name="Обычный 54 3 4" xfId="11893"/>
    <cellStyle name="Обычный 54 3 5" xfId="11894"/>
    <cellStyle name="Обычный 55" xfId="11895"/>
    <cellStyle name="Обычный 55 2" xfId="11896"/>
    <cellStyle name="Обычный 55 2 2" xfId="11897"/>
    <cellStyle name="Обычный 55 2 2 2" xfId="11898"/>
    <cellStyle name="Обычный 55 2 2 3" xfId="11899"/>
    <cellStyle name="Обычный 55 2 3" xfId="11900"/>
    <cellStyle name="Обычный 55 2 4" xfId="11901"/>
    <cellStyle name="Обычный 55 2 5" xfId="11902"/>
    <cellStyle name="Обычный 55 3" xfId="11903"/>
    <cellStyle name="Обычный 55 3 2" xfId="11904"/>
    <cellStyle name="Обычный 55 3 2 2" xfId="11905"/>
    <cellStyle name="Обычный 55 3 2 3" xfId="11906"/>
    <cellStyle name="Обычный 55 3 3" xfId="11907"/>
    <cellStyle name="Обычный 55 3 4" xfId="11908"/>
    <cellStyle name="Обычный 55 3 5" xfId="11909"/>
    <cellStyle name="Обычный 56" xfId="11910"/>
    <cellStyle name="Обычный 56 2" xfId="11911"/>
    <cellStyle name="Обычный 56 2 2" xfId="11912"/>
    <cellStyle name="Обычный 56 2 2 2" xfId="11913"/>
    <cellStyle name="Обычный 56 2 2 3" xfId="11914"/>
    <cellStyle name="Обычный 56 2 3" xfId="11915"/>
    <cellStyle name="Обычный 56 2 4" xfId="11916"/>
    <cellStyle name="Обычный 56 2 5" xfId="11917"/>
    <cellStyle name="Обычный 56 3" xfId="11918"/>
    <cellStyle name="Обычный 56 3 2" xfId="11919"/>
    <cellStyle name="Обычный 56 3 2 2" xfId="11920"/>
    <cellStyle name="Обычный 56 3 2 3" xfId="11921"/>
    <cellStyle name="Обычный 56 3 3" xfId="11922"/>
    <cellStyle name="Обычный 56 3 4" xfId="11923"/>
    <cellStyle name="Обычный 56 3 5" xfId="11924"/>
    <cellStyle name="Обычный 57" xfId="11925"/>
    <cellStyle name="Обычный 57 2" xfId="11926"/>
    <cellStyle name="Обычный 57 2 2" xfId="11927"/>
    <cellStyle name="Обычный 57 2 2 2" xfId="11928"/>
    <cellStyle name="Обычный 57 2 2 3" xfId="11929"/>
    <cellStyle name="Обычный 57 2 3" xfId="11930"/>
    <cellStyle name="Обычный 57 2 4" xfId="11931"/>
    <cellStyle name="Обычный 57 2 5" xfId="11932"/>
    <cellStyle name="Обычный 57 3" xfId="11933"/>
    <cellStyle name="Обычный 57 3 2" xfId="11934"/>
    <cellStyle name="Обычный 57 3 2 2" xfId="11935"/>
    <cellStyle name="Обычный 57 3 2 3" xfId="11936"/>
    <cellStyle name="Обычный 57 3 3" xfId="11937"/>
    <cellStyle name="Обычный 57 3 4" xfId="11938"/>
    <cellStyle name="Обычный 57 3 5" xfId="11939"/>
    <cellStyle name="Обычный 58" xfId="11940"/>
    <cellStyle name="Обычный 59" xfId="11941"/>
    <cellStyle name="Обычный 59 2" xfId="11942"/>
    <cellStyle name="Обычный 59 2 2" xfId="11943"/>
    <cellStyle name="Обычный 59 2 2 2" xfId="11944"/>
    <cellStyle name="Обычный 59 2 2 3" xfId="11945"/>
    <cellStyle name="Обычный 59 2 3" xfId="11946"/>
    <cellStyle name="Обычный 59 2 4" xfId="11947"/>
    <cellStyle name="Обычный 59 2 5" xfId="11948"/>
    <cellStyle name="Обычный 59 3" xfId="11949"/>
    <cellStyle name="Обычный 59 3 2" xfId="11950"/>
    <cellStyle name="Обычный 59 3 2 2" xfId="11951"/>
    <cellStyle name="Обычный 59 3 2 3" xfId="11952"/>
    <cellStyle name="Обычный 59 3 3" xfId="11953"/>
    <cellStyle name="Обычный 59 3 4" xfId="11954"/>
    <cellStyle name="Обычный 59 3 5" xfId="11955"/>
    <cellStyle name="Обычный 6" xfId="11956"/>
    <cellStyle name="Обычный 6 2" xfId="11957"/>
    <cellStyle name="Обычный 6 2 2" xfId="11958"/>
    <cellStyle name="Обычный 6 2 2 2" xfId="11959"/>
    <cellStyle name="Обычный 6 3" xfId="11960"/>
    <cellStyle name="Обычный 6 4" xfId="11961"/>
    <cellStyle name="Обычный 6_ТиНАО канализ" xfId="11962"/>
    <cellStyle name="Обычный 60" xfId="11963"/>
    <cellStyle name="Обычный 60 2" xfId="11964"/>
    <cellStyle name="Обычный 60 2 2" xfId="11965"/>
    <cellStyle name="Обычный 60 2 2 2" xfId="11966"/>
    <cellStyle name="Обычный 60 2 2 2 2" xfId="11967"/>
    <cellStyle name="Обычный 60 2 2 2 3" xfId="11968"/>
    <cellStyle name="Обычный 60 2 2 3" xfId="11969"/>
    <cellStyle name="Обычный 60 2 2 4" xfId="11970"/>
    <cellStyle name="Обычный 60 2 2 5" xfId="11971"/>
    <cellStyle name="Обычный 60 2 3" xfId="11972"/>
    <cellStyle name="Обычный 60 2 3 2" xfId="11973"/>
    <cellStyle name="Обычный 60 2 3 2 2" xfId="11974"/>
    <cellStyle name="Обычный 60 2 3 2 3" xfId="11975"/>
    <cellStyle name="Обычный 60 2 3 3" xfId="11976"/>
    <cellStyle name="Обычный 60 2 3 4" xfId="11977"/>
    <cellStyle name="Обычный 60 2 3 5" xfId="11978"/>
    <cellStyle name="Обычный 60 2 4" xfId="11979"/>
    <cellStyle name="Обычный 60 2 4 2" xfId="11980"/>
    <cellStyle name="Обычный 60 2 4 3" xfId="11981"/>
    <cellStyle name="Обычный 60 2 5" xfId="11982"/>
    <cellStyle name="Обычный 60 2 6" xfId="11983"/>
    <cellStyle name="Обычный 60 2 7" xfId="11984"/>
    <cellStyle name="Обычный 60 3" xfId="11985"/>
    <cellStyle name="Обычный 60 3 2" xfId="11986"/>
    <cellStyle name="Обычный 60 3 2 2" xfId="11987"/>
    <cellStyle name="Обычный 60 3 2 3" xfId="11988"/>
    <cellStyle name="Обычный 60 3 3" xfId="11989"/>
    <cellStyle name="Обычный 60 3 4" xfId="11990"/>
    <cellStyle name="Обычный 60 3 5" xfId="11991"/>
    <cellStyle name="Обычный 60 4" xfId="11992"/>
    <cellStyle name="Обычный 60 4 2" xfId="11993"/>
    <cellStyle name="Обычный 60 4 2 2" xfId="11994"/>
    <cellStyle name="Обычный 60 4 2 3" xfId="11995"/>
    <cellStyle name="Обычный 60 4 3" xfId="11996"/>
    <cellStyle name="Обычный 60 4 4" xfId="11997"/>
    <cellStyle name="Обычный 60 4 5" xfId="11998"/>
    <cellStyle name="Обычный 60 5" xfId="11999"/>
    <cellStyle name="Обычный 60 5 2" xfId="12000"/>
    <cellStyle name="Обычный 60 5 3" xfId="12001"/>
    <cellStyle name="Обычный 60 6" xfId="12002"/>
    <cellStyle name="Обычный 60 7" xfId="12003"/>
    <cellStyle name="Обычный 60 8" xfId="12004"/>
    <cellStyle name="Обычный 60_Екатеринбургский_утвержденный" xfId="12005"/>
    <cellStyle name="Обычный 61" xfId="12006"/>
    <cellStyle name="Обычный 61 2" xfId="12007"/>
    <cellStyle name="Обычный 61 2 2" xfId="12008"/>
    <cellStyle name="Обычный 61 2 2 2" xfId="12009"/>
    <cellStyle name="Обычный 61 2 2 3" xfId="12010"/>
    <cellStyle name="Обычный 61 2 3" xfId="12011"/>
    <cellStyle name="Обычный 61 2 4" xfId="12012"/>
    <cellStyle name="Обычный 61 2 5" xfId="12013"/>
    <cellStyle name="Обычный 61 3" xfId="12014"/>
    <cellStyle name="Обычный 61 3 2" xfId="12015"/>
    <cellStyle name="Обычный 61 3 2 2" xfId="12016"/>
    <cellStyle name="Обычный 61 3 2 3" xfId="12017"/>
    <cellStyle name="Обычный 61 3 3" xfId="12018"/>
    <cellStyle name="Обычный 61 3 4" xfId="12019"/>
    <cellStyle name="Обычный 61 3 5" xfId="12020"/>
    <cellStyle name="Обычный 62" xfId="12021"/>
    <cellStyle name="Обычный 62 2" xfId="12022"/>
    <cellStyle name="Обычный 62 3" xfId="12023"/>
    <cellStyle name="Обычный 62 3 2" xfId="12024"/>
    <cellStyle name="Обычный 62 3 2 2" xfId="12025"/>
    <cellStyle name="Обычный 62 3 2 3" xfId="12026"/>
    <cellStyle name="Обычный 62 3 3" xfId="12027"/>
    <cellStyle name="Обычный 62 3 4" xfId="12028"/>
    <cellStyle name="Обычный 62 3 5" xfId="12029"/>
    <cellStyle name="Обычный 63" xfId="12030"/>
    <cellStyle name="Обычный 63 2" xfId="12031"/>
    <cellStyle name="Обычный 63 2 2" xfId="12032"/>
    <cellStyle name="Обычный 63 2 2 2" xfId="12033"/>
    <cellStyle name="Обычный 63 2 2 3" xfId="12034"/>
    <cellStyle name="Обычный 63 2 3" xfId="12035"/>
    <cellStyle name="Обычный 63 2 4" xfId="12036"/>
    <cellStyle name="Обычный 63 2 5" xfId="12037"/>
    <cellStyle name="Обычный 63 3" xfId="12038"/>
    <cellStyle name="Обычный 63 3 2" xfId="12039"/>
    <cellStyle name="Обычный 63 3 2 2" xfId="12040"/>
    <cellStyle name="Обычный 63 3 2 3" xfId="12041"/>
    <cellStyle name="Обычный 63 3 3" xfId="12042"/>
    <cellStyle name="Обычный 63 3 4" xfId="12043"/>
    <cellStyle name="Обычный 63 3 5" xfId="12044"/>
    <cellStyle name="Обычный 64" xfId="12045"/>
    <cellStyle name="Обычный 64 2" xfId="12046"/>
    <cellStyle name="Обычный 64 3" xfId="12047"/>
    <cellStyle name="Обычный 64 3 2" xfId="12048"/>
    <cellStyle name="Обычный 64 3 2 2" xfId="12049"/>
    <cellStyle name="Обычный 64 3 2 3" xfId="12050"/>
    <cellStyle name="Обычный 64 3 3" xfId="12051"/>
    <cellStyle name="Обычный 64 3 4" xfId="12052"/>
    <cellStyle name="Обычный 64 3 5" xfId="12053"/>
    <cellStyle name="Обычный 65" xfId="12054"/>
    <cellStyle name="Обычный 65 2" xfId="12055"/>
    <cellStyle name="Обычный 65 2 2" xfId="12056"/>
    <cellStyle name="Обычный 65 2 2 2" xfId="12057"/>
    <cellStyle name="Обычный 65 2 2 3" xfId="12058"/>
    <cellStyle name="Обычный 65 2 3" xfId="12059"/>
    <cellStyle name="Обычный 65 2 4" xfId="12060"/>
    <cellStyle name="Обычный 65 2 5" xfId="12061"/>
    <cellStyle name="Обычный 65 3" xfId="12062"/>
    <cellStyle name="Обычный 65 3 2" xfId="12063"/>
    <cellStyle name="Обычный 65 3 2 2" xfId="12064"/>
    <cellStyle name="Обычный 65 3 2 3" xfId="12065"/>
    <cellStyle name="Обычный 65 3 3" xfId="12066"/>
    <cellStyle name="Обычный 65 3 4" xfId="12067"/>
    <cellStyle name="Обычный 65 3 5" xfId="12068"/>
    <cellStyle name="Обычный 66" xfId="12069"/>
    <cellStyle name="Обычный 66 2" xfId="12070"/>
    <cellStyle name="Обычный 66 2 2" xfId="12071"/>
    <cellStyle name="Обычный 66 2 2 2" xfId="12072"/>
    <cellStyle name="Обычный 66 2 2 3" xfId="12073"/>
    <cellStyle name="Обычный 66 2 3" xfId="12074"/>
    <cellStyle name="Обычный 66 2 4" xfId="12075"/>
    <cellStyle name="Обычный 66 2 5" xfId="12076"/>
    <cellStyle name="Обычный 66 3" xfId="12077"/>
    <cellStyle name="Обычный 66 3 2" xfId="12078"/>
    <cellStyle name="Обычный 66 3 2 2" xfId="12079"/>
    <cellStyle name="Обычный 66 3 2 3" xfId="12080"/>
    <cellStyle name="Обычный 66 3 3" xfId="12081"/>
    <cellStyle name="Обычный 66 3 4" xfId="12082"/>
    <cellStyle name="Обычный 66 3 5" xfId="12083"/>
    <cellStyle name="Обычный 66 4" xfId="12084"/>
    <cellStyle name="Обычный 66 4 2" xfId="12085"/>
    <cellStyle name="Обычный 66 4 3" xfId="12086"/>
    <cellStyle name="Обычный 66 5" xfId="12087"/>
    <cellStyle name="Обычный 66 6" xfId="12088"/>
    <cellStyle name="Обычный 66 7" xfId="12089"/>
    <cellStyle name="Обычный 67" xfId="12090"/>
    <cellStyle name="Обычный 67 2" xfId="12091"/>
    <cellStyle name="Обычный 67 2 2" xfId="12092"/>
    <cellStyle name="Обычный 67 2 2 2" xfId="12093"/>
    <cellStyle name="Обычный 67 2 2 3" xfId="12094"/>
    <cellStyle name="Обычный 67 2 3" xfId="12095"/>
    <cellStyle name="Обычный 67 2 4" xfId="12096"/>
    <cellStyle name="Обычный 67 2 5" xfId="12097"/>
    <cellStyle name="Обычный 67 3" xfId="12098"/>
    <cellStyle name="Обычный 67 3 2" xfId="12099"/>
    <cellStyle name="Обычный 67 3 2 2" xfId="12100"/>
    <cellStyle name="Обычный 67 3 2 3" xfId="12101"/>
    <cellStyle name="Обычный 67 3 3" xfId="12102"/>
    <cellStyle name="Обычный 67 3 4" xfId="12103"/>
    <cellStyle name="Обычный 67 3 5" xfId="12104"/>
    <cellStyle name="Обычный 67 4" xfId="12105"/>
    <cellStyle name="Обычный 67 4 2" xfId="12106"/>
    <cellStyle name="Обычный 67 4 3" xfId="12107"/>
    <cellStyle name="Обычный 67 5" xfId="12108"/>
    <cellStyle name="Обычный 67 6" xfId="12109"/>
    <cellStyle name="Обычный 67 7" xfId="12110"/>
    <cellStyle name="Обычный 68" xfId="12111"/>
    <cellStyle name="Обычный 68 2" xfId="12112"/>
    <cellStyle name="Обычный 68 2 2" xfId="12113"/>
    <cellStyle name="Обычный 68 2 2 2" xfId="12114"/>
    <cellStyle name="Обычный 68 2 2 3" xfId="12115"/>
    <cellStyle name="Обычный 68 2 3" xfId="12116"/>
    <cellStyle name="Обычный 68 2 4" xfId="12117"/>
    <cellStyle name="Обычный 68 2 5" xfId="12118"/>
    <cellStyle name="Обычный 68 3" xfId="12119"/>
    <cellStyle name="Обычный 68 3 2" xfId="12120"/>
    <cellStyle name="Обычный 68 3 2 2" xfId="12121"/>
    <cellStyle name="Обычный 68 3 2 3" xfId="12122"/>
    <cellStyle name="Обычный 68 3 3" xfId="12123"/>
    <cellStyle name="Обычный 68 3 4" xfId="12124"/>
    <cellStyle name="Обычный 68 3 5" xfId="12125"/>
    <cellStyle name="Обычный 68 4" xfId="12126"/>
    <cellStyle name="Обычный 68 4 2" xfId="12127"/>
    <cellStyle name="Обычный 68 4 3" xfId="12128"/>
    <cellStyle name="Обычный 68 5" xfId="12129"/>
    <cellStyle name="Обычный 68 6" xfId="12130"/>
    <cellStyle name="Обычный 68 7" xfId="12131"/>
    <cellStyle name="Обычный 69" xfId="12132"/>
    <cellStyle name="Обычный 69 2" xfId="12133"/>
    <cellStyle name="Обычный 69 2 2" xfId="12134"/>
    <cellStyle name="Обычный 69 2 2 2" xfId="12135"/>
    <cellStyle name="Обычный 69 2 2 3" xfId="12136"/>
    <cellStyle name="Обычный 69 2 3" xfId="12137"/>
    <cellStyle name="Обычный 69 2 4" xfId="12138"/>
    <cellStyle name="Обычный 69 2 5" xfId="12139"/>
    <cellStyle name="Обычный 69 3" xfId="12140"/>
    <cellStyle name="Обычный 69 3 2" xfId="12141"/>
    <cellStyle name="Обычный 69 3 2 2" xfId="12142"/>
    <cellStyle name="Обычный 69 3 2 3" xfId="12143"/>
    <cellStyle name="Обычный 69 3 3" xfId="12144"/>
    <cellStyle name="Обычный 69 3 4" xfId="12145"/>
    <cellStyle name="Обычный 69 3 5" xfId="12146"/>
    <cellStyle name="Обычный 7" xfId="12147"/>
    <cellStyle name="Обычный 7 2" xfId="12148"/>
    <cellStyle name="Обычный 7 2 2" xfId="12149"/>
    <cellStyle name="Обычный 7 3" xfId="12150"/>
    <cellStyle name="Обычный 70" xfId="12151"/>
    <cellStyle name="Обычный 70 2" xfId="12152"/>
    <cellStyle name="Обычный 70 2 2" xfId="12153"/>
    <cellStyle name="Обычный 70 2 2 2" xfId="12154"/>
    <cellStyle name="Обычный 70 2 2 3" xfId="12155"/>
    <cellStyle name="Обычный 70 2 3" xfId="12156"/>
    <cellStyle name="Обычный 70 2 4" xfId="12157"/>
    <cellStyle name="Обычный 70 2 5" xfId="12158"/>
    <cellStyle name="Обычный 70 3" xfId="12159"/>
    <cellStyle name="Обычный 70 3 2" xfId="12160"/>
    <cellStyle name="Обычный 70 3 2 2" xfId="12161"/>
    <cellStyle name="Обычный 70 3 2 3" xfId="12162"/>
    <cellStyle name="Обычный 70 3 3" xfId="12163"/>
    <cellStyle name="Обычный 70 3 4" xfId="12164"/>
    <cellStyle name="Обычный 70 3 5" xfId="12165"/>
    <cellStyle name="Обычный 71" xfId="12166"/>
    <cellStyle name="Обычный 71 2" xfId="12167"/>
    <cellStyle name="Обычный 71 2 2" xfId="12168"/>
    <cellStyle name="Обычный 71 2 2 2" xfId="12169"/>
    <cellStyle name="Обычный 71 2 2 3" xfId="12170"/>
    <cellStyle name="Обычный 71 2 3" xfId="12171"/>
    <cellStyle name="Обычный 71 2 4" xfId="12172"/>
    <cellStyle name="Обычный 71 2 5" xfId="12173"/>
    <cellStyle name="Обычный 71 3" xfId="12174"/>
    <cellStyle name="Обычный 71 3 2" xfId="12175"/>
    <cellStyle name="Обычный 71 3 2 2" xfId="12176"/>
    <cellStyle name="Обычный 71 3 2 3" xfId="12177"/>
    <cellStyle name="Обычный 71 3 3" xfId="12178"/>
    <cellStyle name="Обычный 71 3 4" xfId="12179"/>
    <cellStyle name="Обычный 71 3 5" xfId="12180"/>
    <cellStyle name="Обычный 71 4" xfId="12181"/>
    <cellStyle name="Обычный 71 4 2" xfId="12182"/>
    <cellStyle name="Обычный 71 4 3" xfId="12183"/>
    <cellStyle name="Обычный 71 5" xfId="12184"/>
    <cellStyle name="Обычный 71 6" xfId="12185"/>
    <cellStyle name="Обычный 71 7" xfId="12186"/>
    <cellStyle name="Обычный 72" xfId="12187"/>
    <cellStyle name="Обычный 72 2" xfId="12188"/>
    <cellStyle name="Обычный 72 2 2" xfId="12189"/>
    <cellStyle name="Обычный 72 2 2 2" xfId="12190"/>
    <cellStyle name="Обычный 72 2 2 3" xfId="12191"/>
    <cellStyle name="Обычный 72 2 3" xfId="12192"/>
    <cellStyle name="Обычный 72 2 4" xfId="12193"/>
    <cellStyle name="Обычный 72 2 5" xfId="12194"/>
    <cellStyle name="Обычный 72 3" xfId="12195"/>
    <cellStyle name="Обычный 72 3 2" xfId="12196"/>
    <cellStyle name="Обычный 72 3 2 2" xfId="12197"/>
    <cellStyle name="Обычный 72 3 2 3" xfId="12198"/>
    <cellStyle name="Обычный 72 3 3" xfId="12199"/>
    <cellStyle name="Обычный 72 3 4" xfId="12200"/>
    <cellStyle name="Обычный 72 3 5" xfId="12201"/>
    <cellStyle name="Обычный 72 4" xfId="12202"/>
    <cellStyle name="Обычный 72 4 2" xfId="12203"/>
    <cellStyle name="Обычный 72 4 3" xfId="12204"/>
    <cellStyle name="Обычный 72 5" xfId="12205"/>
    <cellStyle name="Обычный 72 6" xfId="12206"/>
    <cellStyle name="Обычный 72 7" xfId="12207"/>
    <cellStyle name="Обычный 73" xfId="12208"/>
    <cellStyle name="Обычный 73 2" xfId="12209"/>
    <cellStyle name="Обычный 73 2 2" xfId="12210"/>
    <cellStyle name="Обычный 73 2 2 2" xfId="12211"/>
    <cellStyle name="Обычный 73 2 2 3" xfId="12212"/>
    <cellStyle name="Обычный 73 2 3" xfId="12213"/>
    <cellStyle name="Обычный 73 2 4" xfId="12214"/>
    <cellStyle name="Обычный 73 2 5" xfId="12215"/>
    <cellStyle name="Обычный 73 3" xfId="12216"/>
    <cellStyle name="Обычный 73 3 2" xfId="12217"/>
    <cellStyle name="Обычный 73 3 2 2" xfId="12218"/>
    <cellStyle name="Обычный 73 3 2 3" xfId="12219"/>
    <cellStyle name="Обычный 73 3 3" xfId="12220"/>
    <cellStyle name="Обычный 73 3 4" xfId="12221"/>
    <cellStyle name="Обычный 73 3 5" xfId="12222"/>
    <cellStyle name="Обычный 74" xfId="12223"/>
    <cellStyle name="Обычный 74 2" xfId="12224"/>
    <cellStyle name="Обычный 74 2 2" xfId="12225"/>
    <cellStyle name="Обычный 74 2 2 2" xfId="12226"/>
    <cellStyle name="Обычный 74 2 2 3" xfId="12227"/>
    <cellStyle name="Обычный 74 2 3" xfId="12228"/>
    <cellStyle name="Обычный 74 2 4" xfId="12229"/>
    <cellStyle name="Обычный 74 2 5" xfId="12230"/>
    <cellStyle name="Обычный 74 3" xfId="12231"/>
    <cellStyle name="Обычный 74 3 2" xfId="12232"/>
    <cellStyle name="Обычный 74 3 2 2" xfId="12233"/>
    <cellStyle name="Обычный 74 3 2 3" xfId="12234"/>
    <cellStyle name="Обычный 74 3 3" xfId="12235"/>
    <cellStyle name="Обычный 74 3 4" xfId="12236"/>
    <cellStyle name="Обычный 74 3 5" xfId="12237"/>
    <cellStyle name="Обычный 74 4" xfId="12238"/>
    <cellStyle name="Обычный 74 4 2" xfId="12239"/>
    <cellStyle name="Обычный 74 4 3" xfId="12240"/>
    <cellStyle name="Обычный 74 5" xfId="12241"/>
    <cellStyle name="Обычный 74 6" xfId="12242"/>
    <cellStyle name="Обычный 74 7" xfId="12243"/>
    <cellStyle name="Обычный 75" xfId="12244"/>
    <cellStyle name="Обычный 75 2" xfId="12245"/>
    <cellStyle name="Обычный 75 2 2" xfId="12246"/>
    <cellStyle name="Обычный 75 2 2 2" xfId="12247"/>
    <cellStyle name="Обычный 75 2 2 3" xfId="12248"/>
    <cellStyle name="Обычный 75 2 3" xfId="12249"/>
    <cellStyle name="Обычный 75 2 4" xfId="12250"/>
    <cellStyle name="Обычный 75 2 5" xfId="12251"/>
    <cellStyle name="Обычный 75 3" xfId="12252"/>
    <cellStyle name="Обычный 75 3 2" xfId="12253"/>
    <cellStyle name="Обычный 75 3 2 2" xfId="12254"/>
    <cellStyle name="Обычный 75 3 2 3" xfId="12255"/>
    <cellStyle name="Обычный 75 3 3" xfId="12256"/>
    <cellStyle name="Обычный 75 3 4" xfId="12257"/>
    <cellStyle name="Обычный 75 3 5" xfId="12258"/>
    <cellStyle name="Обычный 75 4" xfId="12259"/>
    <cellStyle name="Обычный 75 4 2" xfId="12260"/>
    <cellStyle name="Обычный 75 4 3" xfId="12261"/>
    <cellStyle name="Обычный 75 5" xfId="12262"/>
    <cellStyle name="Обычный 75 6" xfId="12263"/>
    <cellStyle name="Обычный 75 7" xfId="12264"/>
    <cellStyle name="Обычный 76" xfId="12265"/>
    <cellStyle name="Обычный 76 2" xfId="12266"/>
    <cellStyle name="Обычный 76 3" xfId="12267"/>
    <cellStyle name="Обычный 76 3 2" xfId="12268"/>
    <cellStyle name="Обычный 76 3 2 2" xfId="12269"/>
    <cellStyle name="Обычный 76 3 2 3" xfId="12270"/>
    <cellStyle name="Обычный 76 3 3" xfId="12271"/>
    <cellStyle name="Обычный 76 3 4" xfId="12272"/>
    <cellStyle name="Обычный 76 3 5" xfId="12273"/>
    <cellStyle name="Обычный 77" xfId="12274"/>
    <cellStyle name="Обычный 78" xfId="12275"/>
    <cellStyle name="Обычный 78 2" xfId="12276"/>
    <cellStyle name="Обычный 79" xfId="12277"/>
    <cellStyle name="Обычный 79 2" xfId="12278"/>
    <cellStyle name="Обычный 79 2 2" xfId="12279"/>
    <cellStyle name="Обычный 79 2 2 2" xfId="12280"/>
    <cellStyle name="Обычный 79 2 2 3" xfId="12281"/>
    <cellStyle name="Обычный 79 2 3" xfId="12282"/>
    <cellStyle name="Обычный 79 2 4" xfId="12283"/>
    <cellStyle name="Обычный 79 2 5" xfId="12284"/>
    <cellStyle name="Обычный 79 3" xfId="12285"/>
    <cellStyle name="Обычный 8" xfId="12286"/>
    <cellStyle name="Обычный 8 2" xfId="12287"/>
    <cellStyle name="Обычный 8 2 2" xfId="12288"/>
    <cellStyle name="Обычный 8 2 3" xfId="12289"/>
    <cellStyle name="Обычный 8 3" xfId="12290"/>
    <cellStyle name="Обычный 8 3 2" xfId="12291"/>
    <cellStyle name="Обычный 8 3 2 2" xfId="12292"/>
    <cellStyle name="Обычный 8 3 2 3" xfId="12293"/>
    <cellStyle name="Обычный 8 3 3" xfId="12294"/>
    <cellStyle name="Обычный 8 3 4" xfId="12295"/>
    <cellStyle name="Обычный 8 3 5" xfId="12296"/>
    <cellStyle name="Обычный 8 4" xfId="12297"/>
    <cellStyle name="Обычный 8 4 2" xfId="12298"/>
    <cellStyle name="Обычный 8 4 2 2" xfId="12299"/>
    <cellStyle name="Обычный 8 4 2 3" xfId="12300"/>
    <cellStyle name="Обычный 8 4 3" xfId="12301"/>
    <cellStyle name="Обычный 8 4 4" xfId="12302"/>
    <cellStyle name="Обычный 8 4 5" xfId="12303"/>
    <cellStyle name="Обычный 80" xfId="12304"/>
    <cellStyle name="Обычный 81" xfId="12305"/>
    <cellStyle name="Обычный 82" xfId="12306"/>
    <cellStyle name="Обычный 83" xfId="12307"/>
    <cellStyle name="Обычный 84" xfId="12308"/>
    <cellStyle name="Обычный 85" xfId="12309"/>
    <cellStyle name="Обычный 86" xfId="12310"/>
    <cellStyle name="Обычный 87" xfId="12311"/>
    <cellStyle name="Обычный 88" xfId="12312"/>
    <cellStyle name="Обычный 89" xfId="12313"/>
    <cellStyle name="Обычный 9" xfId="12314"/>
    <cellStyle name="Обычный 9 2" xfId="12315"/>
    <cellStyle name="Обычный 9 3" xfId="12316"/>
    <cellStyle name="Обычный 9 3 2" xfId="12317"/>
    <cellStyle name="Обычный 9 3 2 2" xfId="12318"/>
    <cellStyle name="Обычный 9 3 2 3" xfId="12319"/>
    <cellStyle name="Обычный 9 3 3" xfId="12320"/>
    <cellStyle name="Обычный 9 3 4" xfId="12321"/>
    <cellStyle name="Обычный 9 3 5" xfId="12322"/>
    <cellStyle name="Обычный 9 4" xfId="12323"/>
    <cellStyle name="Обычный 9 4 2" xfId="12324"/>
    <cellStyle name="Обычный 9 4 2 2" xfId="12325"/>
    <cellStyle name="Обычный 9 4 2 3" xfId="12326"/>
    <cellStyle name="Обычный 9 4 3" xfId="12327"/>
    <cellStyle name="Обычный 9 4 4" xfId="12328"/>
    <cellStyle name="Обычный 9 4 5" xfId="12329"/>
    <cellStyle name="Обычный 90" xfId="12330"/>
    <cellStyle name="Обычный 90 2" xfId="12331"/>
    <cellStyle name="Обычный 90 2 2" xfId="12332"/>
    <cellStyle name="Обычный 90 2 3" xfId="12333"/>
    <cellStyle name="Обычный 90 3" xfId="12334"/>
    <cellStyle name="Обычный 90 4" xfId="12335"/>
    <cellStyle name="Обычный 90 5" xfId="12336"/>
    <cellStyle name="Обычный 91" xfId="12337"/>
    <cellStyle name="Обычный 92" xfId="12338"/>
    <cellStyle name="Обычный 93" xfId="12339"/>
    <cellStyle name="Обычный 94" xfId="12340"/>
    <cellStyle name="Обычный 94 2" xfId="12341"/>
    <cellStyle name="Обычный 94 2 2" xfId="12342"/>
    <cellStyle name="Обычный 94 2 3" xfId="12343"/>
    <cellStyle name="Обычный 94 3" xfId="12344"/>
    <cellStyle name="Обычный 94 4" xfId="12345"/>
    <cellStyle name="Обычный 94 5" xfId="12346"/>
    <cellStyle name="Обычный 95" xfId="12347"/>
    <cellStyle name="Обычный 95 2" xfId="12348"/>
    <cellStyle name="Обычный 95 2 2" xfId="12349"/>
    <cellStyle name="Обычный 95 2 3" xfId="12350"/>
    <cellStyle name="Обычный 95 3" xfId="12351"/>
    <cellStyle name="Обычный 95 4" xfId="12352"/>
    <cellStyle name="Обычный 95 5" xfId="12353"/>
    <cellStyle name="Обычный 96" xfId="12354"/>
    <cellStyle name="Обычный 97" xfId="12355"/>
    <cellStyle name="Обычный 97 2" xfId="12356"/>
    <cellStyle name="Обычный 97 2 2" xfId="12357"/>
    <cellStyle name="Обычный 97 2 3" xfId="12358"/>
    <cellStyle name="Обычный 97 3" xfId="12359"/>
    <cellStyle name="Обычный 97 4" xfId="12360"/>
    <cellStyle name="Обычный 97 5" xfId="12361"/>
    <cellStyle name="Обычный 98" xfId="12362"/>
    <cellStyle name="Обычный 98 2" xfId="12363"/>
    <cellStyle name="Обычный 98 2 2" xfId="12364"/>
    <cellStyle name="Обычный 98 2 3" xfId="12365"/>
    <cellStyle name="Обычный 98 3" xfId="12366"/>
    <cellStyle name="Обычный 98 4" xfId="12367"/>
    <cellStyle name="Обычный 98 5" xfId="12368"/>
    <cellStyle name="Обычный 99" xfId="12369"/>
    <cellStyle name="Обычный 99 2" xfId="12370"/>
    <cellStyle name="Обычный 99 3" xfId="12371"/>
    <cellStyle name="Обычный 99 4" xfId="12372"/>
    <cellStyle name="Обычный_13 12 11_1 затраты+" xfId="2"/>
    <cellStyle name="Открывавшаяся гиперссылка" xfId="16847" builtinId="9" hidden="1"/>
    <cellStyle name="Открывавшаяся гиперссылка" xfId="16849" builtinId="9" hidden="1"/>
    <cellStyle name="Открывавшаяся гиперссылка" xfId="16851" builtinId="9" hidden="1"/>
    <cellStyle name="Открывавшаяся гиперссылка" xfId="16853" builtinId="9" hidden="1"/>
    <cellStyle name="Открывавшаяся гиперссылка" xfId="16855" builtinId="9" hidden="1"/>
    <cellStyle name="Открывавшаяся гиперссылка" xfId="16857" builtinId="9" hidden="1"/>
    <cellStyle name="Ошибка" xfId="12373"/>
    <cellStyle name="Ошибка 2" xfId="12374"/>
    <cellStyle name="Ошибка 2 2" xfId="12375"/>
    <cellStyle name="Ошибка 2 2 2" xfId="12376"/>
    <cellStyle name="Ошибка 2 2 3" xfId="12377"/>
    <cellStyle name="Ошибка 2 2 4" xfId="12378"/>
    <cellStyle name="Ошибка 2 3" xfId="12379"/>
    <cellStyle name="Ошибка 2 4" xfId="12380"/>
    <cellStyle name="Ошибка 2 5" xfId="12381"/>
    <cellStyle name="Ошибка 3" xfId="12382"/>
    <cellStyle name="Ошибка 3 2" xfId="12383"/>
    <cellStyle name="Ошибка 3 2 2" xfId="12384"/>
    <cellStyle name="Ошибка 3 2 3" xfId="12385"/>
    <cellStyle name="Ошибка 3 2 4" xfId="12386"/>
    <cellStyle name="Ошибка 3 3" xfId="12387"/>
    <cellStyle name="Ошибка 3 4" xfId="12388"/>
    <cellStyle name="Ошибка 3 5" xfId="12389"/>
    <cellStyle name="Ошибка 4" xfId="12390"/>
    <cellStyle name="Ошибка 4 2" xfId="12391"/>
    <cellStyle name="Ошибка 4 2 2" xfId="12392"/>
    <cellStyle name="Ошибка 4 2 3" xfId="12393"/>
    <cellStyle name="Ошибка 4 2 4" xfId="12394"/>
    <cellStyle name="Ошибка 4 3" xfId="12395"/>
    <cellStyle name="Ошибка 4 4" xfId="12396"/>
    <cellStyle name="Ошибка 4 5" xfId="12397"/>
    <cellStyle name="Ошибка 5" xfId="12398"/>
    <cellStyle name="Ошибка 5 2" xfId="12399"/>
    <cellStyle name="Ошибка 5 3" xfId="12400"/>
    <cellStyle name="Ошибка 5 4" xfId="12401"/>
    <cellStyle name="Ошибка 6" xfId="12402"/>
    <cellStyle name="Ошибка 7" xfId="12403"/>
    <cellStyle name="Ошибка 8" xfId="12404"/>
    <cellStyle name="Плохой 10" xfId="12405"/>
    <cellStyle name="Плохой 2" xfId="12406"/>
    <cellStyle name="Плохой 2 2" xfId="12407"/>
    <cellStyle name="Плохой 3" xfId="12408"/>
    <cellStyle name="Плохой 3 2" xfId="12409"/>
    <cellStyle name="Плохой 4" xfId="12410"/>
    <cellStyle name="Плохой 4 2" xfId="12411"/>
    <cellStyle name="Плохой 5" xfId="12412"/>
    <cellStyle name="Плохой 5 2" xfId="12413"/>
    <cellStyle name="Плохой 6" xfId="12414"/>
    <cellStyle name="Плохой 6 2" xfId="12415"/>
    <cellStyle name="Плохой 7" xfId="12416"/>
    <cellStyle name="Плохой 7 2" xfId="12417"/>
    <cellStyle name="Плохой 8" xfId="12418"/>
    <cellStyle name="Плохой 8 2" xfId="12419"/>
    <cellStyle name="Плохой 9" xfId="12420"/>
    <cellStyle name="Плохой 9 2" xfId="12421"/>
    <cellStyle name="По центру с переносом" xfId="12422"/>
    <cellStyle name="По центру с переносом 2" xfId="12423"/>
    <cellStyle name="По центру с переносом 3" xfId="12424"/>
    <cellStyle name="По центру с переносом 4" xfId="12425"/>
    <cellStyle name="По ширине с переносом" xfId="12426"/>
    <cellStyle name="По ширине с переносом 2" xfId="12427"/>
    <cellStyle name="По ширине с переносом 3" xfId="12428"/>
    <cellStyle name="По ширине с переносом 4" xfId="12429"/>
    <cellStyle name="Подгруппа" xfId="12430"/>
    <cellStyle name="Подгруппа 2" xfId="12431"/>
    <cellStyle name="Подгруппа 2 2" xfId="12432"/>
    <cellStyle name="Подгруппа 2 2 2" xfId="12433"/>
    <cellStyle name="Подгруппа 2 2 3" xfId="12434"/>
    <cellStyle name="Подгруппа 2 2 4" xfId="12435"/>
    <cellStyle name="Подгруппа 2 3" xfId="12436"/>
    <cellStyle name="Подгруппа 2 4" xfId="12437"/>
    <cellStyle name="Подгруппа 2 5" xfId="12438"/>
    <cellStyle name="Подгруппа 3" xfId="12439"/>
    <cellStyle name="Подгруппа 3 2" xfId="12440"/>
    <cellStyle name="Подгруппа 3 2 2" xfId="12441"/>
    <cellStyle name="Подгруппа 3 2 3" xfId="12442"/>
    <cellStyle name="Подгруппа 3 2 4" xfId="12443"/>
    <cellStyle name="Подгруппа 3 3" xfId="12444"/>
    <cellStyle name="Подгруппа 3 4" xfId="12445"/>
    <cellStyle name="Подгруппа 3 5" xfId="12446"/>
    <cellStyle name="Подгруппа 4" xfId="12447"/>
    <cellStyle name="Подгруппа 4 2" xfId="12448"/>
    <cellStyle name="Подгруппа 4 2 2" xfId="12449"/>
    <cellStyle name="Подгруппа 4 2 3" xfId="12450"/>
    <cellStyle name="Подгруппа 4 2 4" xfId="12451"/>
    <cellStyle name="Подгруппа 4 3" xfId="12452"/>
    <cellStyle name="Подгруппа 4 4" xfId="12453"/>
    <cellStyle name="Подгруппа 4 5" xfId="12454"/>
    <cellStyle name="Подгруппа 5" xfId="12455"/>
    <cellStyle name="Подгруппа 5 2" xfId="12456"/>
    <cellStyle name="Подгруппа 5 3" xfId="12457"/>
    <cellStyle name="Подгруппа 5 4" xfId="12458"/>
    <cellStyle name="Подгруппа 6" xfId="12459"/>
    <cellStyle name="Подгруппа 7" xfId="12460"/>
    <cellStyle name="Подгруппа 8" xfId="12461"/>
    <cellStyle name="Подзаголовок" xfId="12462"/>
    <cellStyle name="Подраздел" xfId="12463"/>
    <cellStyle name="Поле ввода" xfId="12464"/>
    <cellStyle name="Пояснение 10" xfId="12465"/>
    <cellStyle name="Пояснение 2" xfId="12466"/>
    <cellStyle name="Пояснение 2 2" xfId="12467"/>
    <cellStyle name="Пояснение 3" xfId="12468"/>
    <cellStyle name="Пояснение 3 2" xfId="12469"/>
    <cellStyle name="Пояснение 4" xfId="12470"/>
    <cellStyle name="Пояснение 4 2" xfId="12471"/>
    <cellStyle name="Пояснение 5" xfId="12472"/>
    <cellStyle name="Пояснение 5 2" xfId="12473"/>
    <cellStyle name="Пояснение 6" xfId="12474"/>
    <cellStyle name="Пояснение 6 2" xfId="12475"/>
    <cellStyle name="Пояснение 7" xfId="12476"/>
    <cellStyle name="Пояснение 7 2" xfId="12477"/>
    <cellStyle name="Пояснение 8" xfId="12478"/>
    <cellStyle name="Пояснение 8 2" xfId="12479"/>
    <cellStyle name="Пояснение 9" xfId="12480"/>
    <cellStyle name="Пояснение 9 2" xfId="12481"/>
    <cellStyle name="Примечание 10" xfId="12482"/>
    <cellStyle name="Примечание 10 10" xfId="12483"/>
    <cellStyle name="Примечание 10 11" xfId="12484"/>
    <cellStyle name="Примечание 10 12" xfId="12485"/>
    <cellStyle name="Примечание 10 2" xfId="12486"/>
    <cellStyle name="Примечание 10 2 2" xfId="12487"/>
    <cellStyle name="Примечание 10 2 2 2" xfId="12488"/>
    <cellStyle name="Примечание 10 2 2 2 2" xfId="12489"/>
    <cellStyle name="Примечание 10 2 2 2 3" xfId="12490"/>
    <cellStyle name="Примечание 10 2 2 2 4" xfId="12491"/>
    <cellStyle name="Примечание 10 2 2 3" xfId="12492"/>
    <cellStyle name="Примечание 10 2 2 4" xfId="12493"/>
    <cellStyle name="Примечание 10 2 2 5" xfId="12494"/>
    <cellStyle name="Примечание 10 2 3" xfId="12495"/>
    <cellStyle name="Примечание 10 2 3 2" xfId="12496"/>
    <cellStyle name="Примечание 10 2 3 2 2" xfId="12497"/>
    <cellStyle name="Примечание 10 2 3 2 3" xfId="12498"/>
    <cellStyle name="Примечание 10 2 3 2 4" xfId="12499"/>
    <cellStyle name="Примечание 10 2 3 3" xfId="12500"/>
    <cellStyle name="Примечание 10 2 3 4" xfId="12501"/>
    <cellStyle name="Примечание 10 2 3 5" xfId="12502"/>
    <cellStyle name="Примечание 10 2 4" xfId="12503"/>
    <cellStyle name="Примечание 10 2 4 2" xfId="12504"/>
    <cellStyle name="Примечание 10 2 4 2 2" xfId="12505"/>
    <cellStyle name="Примечание 10 2 4 2 3" xfId="12506"/>
    <cellStyle name="Примечание 10 2 4 2 4" xfId="12507"/>
    <cellStyle name="Примечание 10 2 4 3" xfId="12508"/>
    <cellStyle name="Примечание 10 2 4 4" xfId="12509"/>
    <cellStyle name="Примечание 10 2 4 5" xfId="12510"/>
    <cellStyle name="Примечание 10 2 5" xfId="12511"/>
    <cellStyle name="Примечание 10 2 5 2" xfId="12512"/>
    <cellStyle name="Примечание 10 2 5 2 2" xfId="12513"/>
    <cellStyle name="Примечание 10 2 5 2 3" xfId="12514"/>
    <cellStyle name="Примечание 10 2 5 2 4" xfId="12515"/>
    <cellStyle name="Примечание 10 2 5 3" xfId="12516"/>
    <cellStyle name="Примечание 10 2 5 4" xfId="12517"/>
    <cellStyle name="Примечание 10 2 5 5" xfId="12518"/>
    <cellStyle name="Примечание 10 2 6" xfId="12519"/>
    <cellStyle name="Примечание 10 2 6 2" xfId="12520"/>
    <cellStyle name="Примечание 10 2 6 3" xfId="12521"/>
    <cellStyle name="Примечание 10 2 6 4" xfId="12522"/>
    <cellStyle name="Примечание 10 2 7" xfId="12523"/>
    <cellStyle name="Примечание 10 2 8" xfId="12524"/>
    <cellStyle name="Примечание 10 2 9" xfId="12525"/>
    <cellStyle name="Примечание 10 3" xfId="12526"/>
    <cellStyle name="Примечание 10 3 2" xfId="12527"/>
    <cellStyle name="Примечание 10 3 2 2" xfId="12528"/>
    <cellStyle name="Примечание 10 3 2 2 2" xfId="12529"/>
    <cellStyle name="Примечание 10 3 2 2 3" xfId="12530"/>
    <cellStyle name="Примечание 10 3 2 2 4" xfId="12531"/>
    <cellStyle name="Примечание 10 3 2 3" xfId="12532"/>
    <cellStyle name="Примечание 10 3 2 4" xfId="12533"/>
    <cellStyle name="Примечание 10 3 2 5" xfId="12534"/>
    <cellStyle name="Примечание 10 3 3" xfId="12535"/>
    <cellStyle name="Примечание 10 3 3 2" xfId="12536"/>
    <cellStyle name="Примечание 10 3 3 2 2" xfId="12537"/>
    <cellStyle name="Примечание 10 3 3 2 3" xfId="12538"/>
    <cellStyle name="Примечание 10 3 3 2 4" xfId="12539"/>
    <cellStyle name="Примечание 10 3 3 3" xfId="12540"/>
    <cellStyle name="Примечание 10 3 3 4" xfId="12541"/>
    <cellStyle name="Примечание 10 3 3 5" xfId="12542"/>
    <cellStyle name="Примечание 10 3 4" xfId="12543"/>
    <cellStyle name="Примечание 10 3 4 2" xfId="12544"/>
    <cellStyle name="Примечание 10 3 4 2 2" xfId="12545"/>
    <cellStyle name="Примечание 10 3 4 2 3" xfId="12546"/>
    <cellStyle name="Примечание 10 3 4 2 4" xfId="12547"/>
    <cellStyle name="Примечание 10 3 4 3" xfId="12548"/>
    <cellStyle name="Примечание 10 3 4 4" xfId="12549"/>
    <cellStyle name="Примечание 10 3 4 5" xfId="12550"/>
    <cellStyle name="Примечание 10 3 5" xfId="12551"/>
    <cellStyle name="Примечание 10 3 5 2" xfId="12552"/>
    <cellStyle name="Примечание 10 3 5 2 2" xfId="12553"/>
    <cellStyle name="Примечание 10 3 5 2 3" xfId="12554"/>
    <cellStyle name="Примечание 10 3 5 2 4" xfId="12555"/>
    <cellStyle name="Примечание 10 3 5 3" xfId="12556"/>
    <cellStyle name="Примечание 10 3 5 4" xfId="12557"/>
    <cellStyle name="Примечание 10 3 5 5" xfId="12558"/>
    <cellStyle name="Примечание 10 3 6" xfId="12559"/>
    <cellStyle name="Примечание 10 3 6 2" xfId="12560"/>
    <cellStyle name="Примечание 10 3 6 3" xfId="12561"/>
    <cellStyle name="Примечание 10 3 6 4" xfId="12562"/>
    <cellStyle name="Примечание 10 3 7" xfId="12563"/>
    <cellStyle name="Примечание 10 3 8" xfId="12564"/>
    <cellStyle name="Примечание 10 3 9" xfId="12565"/>
    <cellStyle name="Примечание 10 4" xfId="12566"/>
    <cellStyle name="Примечание 10 4 2" xfId="12567"/>
    <cellStyle name="Примечание 10 4 2 2" xfId="12568"/>
    <cellStyle name="Примечание 10 4 2 2 2" xfId="12569"/>
    <cellStyle name="Примечание 10 4 2 2 3" xfId="12570"/>
    <cellStyle name="Примечание 10 4 2 2 4" xfId="12571"/>
    <cellStyle name="Примечание 10 4 2 3" xfId="12572"/>
    <cellStyle name="Примечание 10 4 2 4" xfId="12573"/>
    <cellStyle name="Примечание 10 4 2 5" xfId="12574"/>
    <cellStyle name="Примечание 10 4 3" xfId="12575"/>
    <cellStyle name="Примечание 10 4 3 2" xfId="12576"/>
    <cellStyle name="Примечание 10 4 3 2 2" xfId="12577"/>
    <cellStyle name="Примечание 10 4 3 2 3" xfId="12578"/>
    <cellStyle name="Примечание 10 4 3 2 4" xfId="12579"/>
    <cellStyle name="Примечание 10 4 3 3" xfId="12580"/>
    <cellStyle name="Примечание 10 4 3 4" xfId="12581"/>
    <cellStyle name="Примечание 10 4 3 5" xfId="12582"/>
    <cellStyle name="Примечание 10 4 4" xfId="12583"/>
    <cellStyle name="Примечание 10 4 4 2" xfId="12584"/>
    <cellStyle name="Примечание 10 4 4 2 2" xfId="12585"/>
    <cellStyle name="Примечание 10 4 4 2 3" xfId="12586"/>
    <cellStyle name="Примечание 10 4 4 2 4" xfId="12587"/>
    <cellStyle name="Примечание 10 4 4 3" xfId="12588"/>
    <cellStyle name="Примечание 10 4 4 4" xfId="12589"/>
    <cellStyle name="Примечание 10 4 4 5" xfId="12590"/>
    <cellStyle name="Примечание 10 4 5" xfId="12591"/>
    <cellStyle name="Примечание 10 4 5 2" xfId="12592"/>
    <cellStyle name="Примечание 10 4 5 2 2" xfId="12593"/>
    <cellStyle name="Примечание 10 4 5 2 3" xfId="12594"/>
    <cellStyle name="Примечание 10 4 5 2 4" xfId="12595"/>
    <cellStyle name="Примечание 10 4 5 3" xfId="12596"/>
    <cellStyle name="Примечание 10 4 5 4" xfId="12597"/>
    <cellStyle name="Примечание 10 4 5 5" xfId="12598"/>
    <cellStyle name="Примечание 10 4 6" xfId="12599"/>
    <cellStyle name="Примечание 10 4 6 2" xfId="12600"/>
    <cellStyle name="Примечание 10 4 6 3" xfId="12601"/>
    <cellStyle name="Примечание 10 4 6 4" xfId="12602"/>
    <cellStyle name="Примечание 10 4 7" xfId="12603"/>
    <cellStyle name="Примечание 10 4 8" xfId="12604"/>
    <cellStyle name="Примечание 10 4 9" xfId="12605"/>
    <cellStyle name="Примечание 10 5" xfId="12606"/>
    <cellStyle name="Примечание 10 5 2" xfId="12607"/>
    <cellStyle name="Примечание 10 5 2 2" xfId="12608"/>
    <cellStyle name="Примечание 10 5 2 3" xfId="12609"/>
    <cellStyle name="Примечание 10 5 2 4" xfId="12610"/>
    <cellStyle name="Примечание 10 5 3" xfId="12611"/>
    <cellStyle name="Примечание 10 5 4" xfId="12612"/>
    <cellStyle name="Примечание 10 5 5" xfId="12613"/>
    <cellStyle name="Примечание 10 6" xfId="12614"/>
    <cellStyle name="Примечание 10 6 2" xfId="12615"/>
    <cellStyle name="Примечание 10 6 2 2" xfId="12616"/>
    <cellStyle name="Примечание 10 6 2 3" xfId="12617"/>
    <cellStyle name="Примечание 10 6 2 4" xfId="12618"/>
    <cellStyle name="Примечание 10 6 3" xfId="12619"/>
    <cellStyle name="Примечание 10 6 4" xfId="12620"/>
    <cellStyle name="Примечание 10 6 5" xfId="12621"/>
    <cellStyle name="Примечание 10 7" xfId="12622"/>
    <cellStyle name="Примечание 10 7 2" xfId="12623"/>
    <cellStyle name="Примечание 10 7 2 2" xfId="12624"/>
    <cellStyle name="Примечание 10 7 2 3" xfId="12625"/>
    <cellStyle name="Примечание 10 7 2 4" xfId="12626"/>
    <cellStyle name="Примечание 10 7 3" xfId="12627"/>
    <cellStyle name="Примечание 10 7 4" xfId="12628"/>
    <cellStyle name="Примечание 10 7 5" xfId="12629"/>
    <cellStyle name="Примечание 10 8" xfId="12630"/>
    <cellStyle name="Примечание 10 8 2" xfId="12631"/>
    <cellStyle name="Примечание 10 8 2 2" xfId="12632"/>
    <cellStyle name="Примечание 10 8 2 3" xfId="12633"/>
    <cellStyle name="Примечание 10 8 2 4" xfId="12634"/>
    <cellStyle name="Примечание 10 8 3" xfId="12635"/>
    <cellStyle name="Примечание 10 8 4" xfId="12636"/>
    <cellStyle name="Примечание 10 8 5" xfId="12637"/>
    <cellStyle name="Примечание 10 9" xfId="12638"/>
    <cellStyle name="Примечание 10 9 2" xfId="12639"/>
    <cellStyle name="Примечание 10 9 3" xfId="12640"/>
    <cellStyle name="Примечание 10 9 4" xfId="12641"/>
    <cellStyle name="Примечание 10_46EE.2011(v1.0)" xfId="12642"/>
    <cellStyle name="Примечание 11" xfId="12643"/>
    <cellStyle name="Примечание 11 10" xfId="12644"/>
    <cellStyle name="Примечание 11 11" xfId="12645"/>
    <cellStyle name="Примечание 11 12" xfId="12646"/>
    <cellStyle name="Примечание 11 2" xfId="12647"/>
    <cellStyle name="Примечание 11 2 2" xfId="12648"/>
    <cellStyle name="Примечание 11 2 2 2" xfId="12649"/>
    <cellStyle name="Примечание 11 2 2 2 2" xfId="12650"/>
    <cellStyle name="Примечание 11 2 2 2 3" xfId="12651"/>
    <cellStyle name="Примечание 11 2 2 2 4" xfId="12652"/>
    <cellStyle name="Примечание 11 2 2 3" xfId="12653"/>
    <cellStyle name="Примечание 11 2 2 4" xfId="12654"/>
    <cellStyle name="Примечание 11 2 2 5" xfId="12655"/>
    <cellStyle name="Примечание 11 2 3" xfId="12656"/>
    <cellStyle name="Примечание 11 2 3 2" xfId="12657"/>
    <cellStyle name="Примечание 11 2 3 2 2" xfId="12658"/>
    <cellStyle name="Примечание 11 2 3 2 3" xfId="12659"/>
    <cellStyle name="Примечание 11 2 3 2 4" xfId="12660"/>
    <cellStyle name="Примечание 11 2 3 3" xfId="12661"/>
    <cellStyle name="Примечание 11 2 3 4" xfId="12662"/>
    <cellStyle name="Примечание 11 2 3 5" xfId="12663"/>
    <cellStyle name="Примечание 11 2 4" xfId="12664"/>
    <cellStyle name="Примечание 11 2 4 2" xfId="12665"/>
    <cellStyle name="Примечание 11 2 4 2 2" xfId="12666"/>
    <cellStyle name="Примечание 11 2 4 2 3" xfId="12667"/>
    <cellStyle name="Примечание 11 2 4 2 4" xfId="12668"/>
    <cellStyle name="Примечание 11 2 4 3" xfId="12669"/>
    <cellStyle name="Примечание 11 2 4 4" xfId="12670"/>
    <cellStyle name="Примечание 11 2 4 5" xfId="12671"/>
    <cellStyle name="Примечание 11 2 5" xfId="12672"/>
    <cellStyle name="Примечание 11 2 5 2" xfId="12673"/>
    <cellStyle name="Примечание 11 2 5 2 2" xfId="12674"/>
    <cellStyle name="Примечание 11 2 5 2 3" xfId="12675"/>
    <cellStyle name="Примечание 11 2 5 2 4" xfId="12676"/>
    <cellStyle name="Примечание 11 2 5 3" xfId="12677"/>
    <cellStyle name="Примечание 11 2 5 4" xfId="12678"/>
    <cellStyle name="Примечание 11 2 5 5" xfId="12679"/>
    <cellStyle name="Примечание 11 2 6" xfId="12680"/>
    <cellStyle name="Примечание 11 2 6 2" xfId="12681"/>
    <cellStyle name="Примечание 11 2 6 3" xfId="12682"/>
    <cellStyle name="Примечание 11 2 6 4" xfId="12683"/>
    <cellStyle name="Примечание 11 2 7" xfId="12684"/>
    <cellStyle name="Примечание 11 2 8" xfId="12685"/>
    <cellStyle name="Примечание 11 2 9" xfId="12686"/>
    <cellStyle name="Примечание 11 3" xfId="12687"/>
    <cellStyle name="Примечание 11 3 2" xfId="12688"/>
    <cellStyle name="Примечание 11 3 2 2" xfId="12689"/>
    <cellStyle name="Примечание 11 3 2 2 2" xfId="12690"/>
    <cellStyle name="Примечание 11 3 2 2 3" xfId="12691"/>
    <cellStyle name="Примечание 11 3 2 2 4" xfId="12692"/>
    <cellStyle name="Примечание 11 3 2 3" xfId="12693"/>
    <cellStyle name="Примечание 11 3 2 4" xfId="12694"/>
    <cellStyle name="Примечание 11 3 2 5" xfId="12695"/>
    <cellStyle name="Примечание 11 3 3" xfId="12696"/>
    <cellStyle name="Примечание 11 3 3 2" xfId="12697"/>
    <cellStyle name="Примечание 11 3 3 2 2" xfId="12698"/>
    <cellStyle name="Примечание 11 3 3 2 3" xfId="12699"/>
    <cellStyle name="Примечание 11 3 3 2 4" xfId="12700"/>
    <cellStyle name="Примечание 11 3 3 3" xfId="12701"/>
    <cellStyle name="Примечание 11 3 3 4" xfId="12702"/>
    <cellStyle name="Примечание 11 3 3 5" xfId="12703"/>
    <cellStyle name="Примечание 11 3 4" xfId="12704"/>
    <cellStyle name="Примечание 11 3 4 2" xfId="12705"/>
    <cellStyle name="Примечание 11 3 4 2 2" xfId="12706"/>
    <cellStyle name="Примечание 11 3 4 2 3" xfId="12707"/>
    <cellStyle name="Примечание 11 3 4 2 4" xfId="12708"/>
    <cellStyle name="Примечание 11 3 4 3" xfId="12709"/>
    <cellStyle name="Примечание 11 3 4 4" xfId="12710"/>
    <cellStyle name="Примечание 11 3 4 5" xfId="12711"/>
    <cellStyle name="Примечание 11 3 5" xfId="12712"/>
    <cellStyle name="Примечание 11 3 5 2" xfId="12713"/>
    <cellStyle name="Примечание 11 3 5 2 2" xfId="12714"/>
    <cellStyle name="Примечание 11 3 5 2 3" xfId="12715"/>
    <cellStyle name="Примечание 11 3 5 2 4" xfId="12716"/>
    <cellStyle name="Примечание 11 3 5 3" xfId="12717"/>
    <cellStyle name="Примечание 11 3 5 4" xfId="12718"/>
    <cellStyle name="Примечание 11 3 5 5" xfId="12719"/>
    <cellStyle name="Примечание 11 3 6" xfId="12720"/>
    <cellStyle name="Примечание 11 3 6 2" xfId="12721"/>
    <cellStyle name="Примечание 11 3 6 3" xfId="12722"/>
    <cellStyle name="Примечание 11 3 6 4" xfId="12723"/>
    <cellStyle name="Примечание 11 3 7" xfId="12724"/>
    <cellStyle name="Примечание 11 3 8" xfId="12725"/>
    <cellStyle name="Примечание 11 3 9" xfId="12726"/>
    <cellStyle name="Примечание 11 4" xfId="12727"/>
    <cellStyle name="Примечание 11 4 2" xfId="12728"/>
    <cellStyle name="Примечание 11 4 2 2" xfId="12729"/>
    <cellStyle name="Примечание 11 4 2 2 2" xfId="12730"/>
    <cellStyle name="Примечание 11 4 2 2 3" xfId="12731"/>
    <cellStyle name="Примечание 11 4 2 2 4" xfId="12732"/>
    <cellStyle name="Примечание 11 4 2 3" xfId="12733"/>
    <cellStyle name="Примечание 11 4 2 4" xfId="12734"/>
    <cellStyle name="Примечание 11 4 2 5" xfId="12735"/>
    <cellStyle name="Примечание 11 4 3" xfId="12736"/>
    <cellStyle name="Примечание 11 4 3 2" xfId="12737"/>
    <cellStyle name="Примечание 11 4 3 2 2" xfId="12738"/>
    <cellStyle name="Примечание 11 4 3 2 3" xfId="12739"/>
    <cellStyle name="Примечание 11 4 3 2 4" xfId="12740"/>
    <cellStyle name="Примечание 11 4 3 3" xfId="12741"/>
    <cellStyle name="Примечание 11 4 3 4" xfId="12742"/>
    <cellStyle name="Примечание 11 4 3 5" xfId="12743"/>
    <cellStyle name="Примечание 11 4 4" xfId="12744"/>
    <cellStyle name="Примечание 11 4 4 2" xfId="12745"/>
    <cellStyle name="Примечание 11 4 4 2 2" xfId="12746"/>
    <cellStyle name="Примечание 11 4 4 2 3" xfId="12747"/>
    <cellStyle name="Примечание 11 4 4 2 4" xfId="12748"/>
    <cellStyle name="Примечание 11 4 4 3" xfId="12749"/>
    <cellStyle name="Примечание 11 4 4 4" xfId="12750"/>
    <cellStyle name="Примечание 11 4 4 5" xfId="12751"/>
    <cellStyle name="Примечание 11 4 5" xfId="12752"/>
    <cellStyle name="Примечание 11 4 5 2" xfId="12753"/>
    <cellStyle name="Примечание 11 4 5 2 2" xfId="12754"/>
    <cellStyle name="Примечание 11 4 5 2 3" xfId="12755"/>
    <cellStyle name="Примечание 11 4 5 2 4" xfId="12756"/>
    <cellStyle name="Примечание 11 4 5 3" xfId="12757"/>
    <cellStyle name="Примечание 11 4 5 4" xfId="12758"/>
    <cellStyle name="Примечание 11 4 5 5" xfId="12759"/>
    <cellStyle name="Примечание 11 4 6" xfId="12760"/>
    <cellStyle name="Примечание 11 4 6 2" xfId="12761"/>
    <cellStyle name="Примечание 11 4 6 3" xfId="12762"/>
    <cellStyle name="Примечание 11 4 6 4" xfId="12763"/>
    <cellStyle name="Примечание 11 4 7" xfId="12764"/>
    <cellStyle name="Примечание 11 4 8" xfId="12765"/>
    <cellStyle name="Примечание 11 4 9" xfId="12766"/>
    <cellStyle name="Примечание 11 5" xfId="12767"/>
    <cellStyle name="Примечание 11 5 2" xfId="12768"/>
    <cellStyle name="Примечание 11 5 2 2" xfId="12769"/>
    <cellStyle name="Примечание 11 5 2 3" xfId="12770"/>
    <cellStyle name="Примечание 11 5 2 4" xfId="12771"/>
    <cellStyle name="Примечание 11 5 3" xfId="12772"/>
    <cellStyle name="Примечание 11 5 4" xfId="12773"/>
    <cellStyle name="Примечание 11 5 5" xfId="12774"/>
    <cellStyle name="Примечание 11 6" xfId="12775"/>
    <cellStyle name="Примечание 11 6 2" xfId="12776"/>
    <cellStyle name="Примечание 11 6 2 2" xfId="12777"/>
    <cellStyle name="Примечание 11 6 2 3" xfId="12778"/>
    <cellStyle name="Примечание 11 6 2 4" xfId="12779"/>
    <cellStyle name="Примечание 11 6 3" xfId="12780"/>
    <cellStyle name="Примечание 11 6 4" xfId="12781"/>
    <cellStyle name="Примечание 11 6 5" xfId="12782"/>
    <cellStyle name="Примечание 11 7" xfId="12783"/>
    <cellStyle name="Примечание 11 7 2" xfId="12784"/>
    <cellStyle name="Примечание 11 7 2 2" xfId="12785"/>
    <cellStyle name="Примечание 11 7 2 3" xfId="12786"/>
    <cellStyle name="Примечание 11 7 2 4" xfId="12787"/>
    <cellStyle name="Примечание 11 7 3" xfId="12788"/>
    <cellStyle name="Примечание 11 7 4" xfId="12789"/>
    <cellStyle name="Примечание 11 7 5" xfId="12790"/>
    <cellStyle name="Примечание 11 8" xfId="12791"/>
    <cellStyle name="Примечание 11 8 2" xfId="12792"/>
    <cellStyle name="Примечание 11 8 2 2" xfId="12793"/>
    <cellStyle name="Примечание 11 8 2 3" xfId="12794"/>
    <cellStyle name="Примечание 11 8 2 4" xfId="12795"/>
    <cellStyle name="Примечание 11 8 3" xfId="12796"/>
    <cellStyle name="Примечание 11 8 4" xfId="12797"/>
    <cellStyle name="Примечание 11 8 5" xfId="12798"/>
    <cellStyle name="Примечание 11 9" xfId="12799"/>
    <cellStyle name="Примечание 11 9 2" xfId="12800"/>
    <cellStyle name="Примечание 11 9 3" xfId="12801"/>
    <cellStyle name="Примечание 11 9 4" xfId="12802"/>
    <cellStyle name="Примечание 11_46EE.2011(v1.0)" xfId="12803"/>
    <cellStyle name="Примечание 12" xfId="12804"/>
    <cellStyle name="Примечание 12 10" xfId="12805"/>
    <cellStyle name="Примечание 12 11" xfId="12806"/>
    <cellStyle name="Примечание 12 12" xfId="12807"/>
    <cellStyle name="Примечание 12 2" xfId="12808"/>
    <cellStyle name="Примечание 12 2 2" xfId="12809"/>
    <cellStyle name="Примечание 12 2 2 2" xfId="12810"/>
    <cellStyle name="Примечание 12 2 2 2 2" xfId="12811"/>
    <cellStyle name="Примечание 12 2 2 2 3" xfId="12812"/>
    <cellStyle name="Примечание 12 2 2 2 4" xfId="12813"/>
    <cellStyle name="Примечание 12 2 2 3" xfId="12814"/>
    <cellStyle name="Примечание 12 2 2 4" xfId="12815"/>
    <cellStyle name="Примечание 12 2 2 5" xfId="12816"/>
    <cellStyle name="Примечание 12 2 3" xfId="12817"/>
    <cellStyle name="Примечание 12 2 3 2" xfId="12818"/>
    <cellStyle name="Примечание 12 2 3 2 2" xfId="12819"/>
    <cellStyle name="Примечание 12 2 3 2 3" xfId="12820"/>
    <cellStyle name="Примечание 12 2 3 2 4" xfId="12821"/>
    <cellStyle name="Примечание 12 2 3 3" xfId="12822"/>
    <cellStyle name="Примечание 12 2 3 4" xfId="12823"/>
    <cellStyle name="Примечание 12 2 3 5" xfId="12824"/>
    <cellStyle name="Примечание 12 2 4" xfId="12825"/>
    <cellStyle name="Примечание 12 2 4 2" xfId="12826"/>
    <cellStyle name="Примечание 12 2 4 2 2" xfId="12827"/>
    <cellStyle name="Примечание 12 2 4 2 3" xfId="12828"/>
    <cellStyle name="Примечание 12 2 4 2 4" xfId="12829"/>
    <cellStyle name="Примечание 12 2 4 3" xfId="12830"/>
    <cellStyle name="Примечание 12 2 4 4" xfId="12831"/>
    <cellStyle name="Примечание 12 2 4 5" xfId="12832"/>
    <cellStyle name="Примечание 12 2 5" xfId="12833"/>
    <cellStyle name="Примечание 12 2 5 2" xfId="12834"/>
    <cellStyle name="Примечание 12 2 5 2 2" xfId="12835"/>
    <cellStyle name="Примечание 12 2 5 2 3" xfId="12836"/>
    <cellStyle name="Примечание 12 2 5 2 4" xfId="12837"/>
    <cellStyle name="Примечание 12 2 5 3" xfId="12838"/>
    <cellStyle name="Примечание 12 2 5 4" xfId="12839"/>
    <cellStyle name="Примечание 12 2 5 5" xfId="12840"/>
    <cellStyle name="Примечание 12 2 6" xfId="12841"/>
    <cellStyle name="Примечание 12 2 6 2" xfId="12842"/>
    <cellStyle name="Примечание 12 2 6 3" xfId="12843"/>
    <cellStyle name="Примечание 12 2 6 4" xfId="12844"/>
    <cellStyle name="Примечание 12 2 7" xfId="12845"/>
    <cellStyle name="Примечание 12 2 8" xfId="12846"/>
    <cellStyle name="Примечание 12 2 9" xfId="12847"/>
    <cellStyle name="Примечание 12 3" xfId="12848"/>
    <cellStyle name="Примечание 12 3 2" xfId="12849"/>
    <cellStyle name="Примечание 12 3 2 2" xfId="12850"/>
    <cellStyle name="Примечание 12 3 2 2 2" xfId="12851"/>
    <cellStyle name="Примечание 12 3 2 2 3" xfId="12852"/>
    <cellStyle name="Примечание 12 3 2 2 4" xfId="12853"/>
    <cellStyle name="Примечание 12 3 2 3" xfId="12854"/>
    <cellStyle name="Примечание 12 3 2 4" xfId="12855"/>
    <cellStyle name="Примечание 12 3 2 5" xfId="12856"/>
    <cellStyle name="Примечание 12 3 3" xfId="12857"/>
    <cellStyle name="Примечание 12 3 3 2" xfId="12858"/>
    <cellStyle name="Примечание 12 3 3 2 2" xfId="12859"/>
    <cellStyle name="Примечание 12 3 3 2 3" xfId="12860"/>
    <cellStyle name="Примечание 12 3 3 2 4" xfId="12861"/>
    <cellStyle name="Примечание 12 3 3 3" xfId="12862"/>
    <cellStyle name="Примечание 12 3 3 4" xfId="12863"/>
    <cellStyle name="Примечание 12 3 3 5" xfId="12864"/>
    <cellStyle name="Примечание 12 3 4" xfId="12865"/>
    <cellStyle name="Примечание 12 3 4 2" xfId="12866"/>
    <cellStyle name="Примечание 12 3 4 2 2" xfId="12867"/>
    <cellStyle name="Примечание 12 3 4 2 3" xfId="12868"/>
    <cellStyle name="Примечание 12 3 4 2 4" xfId="12869"/>
    <cellStyle name="Примечание 12 3 4 3" xfId="12870"/>
    <cellStyle name="Примечание 12 3 4 4" xfId="12871"/>
    <cellStyle name="Примечание 12 3 4 5" xfId="12872"/>
    <cellStyle name="Примечание 12 3 5" xfId="12873"/>
    <cellStyle name="Примечание 12 3 5 2" xfId="12874"/>
    <cellStyle name="Примечание 12 3 5 2 2" xfId="12875"/>
    <cellStyle name="Примечание 12 3 5 2 3" xfId="12876"/>
    <cellStyle name="Примечание 12 3 5 2 4" xfId="12877"/>
    <cellStyle name="Примечание 12 3 5 3" xfId="12878"/>
    <cellStyle name="Примечание 12 3 5 4" xfId="12879"/>
    <cellStyle name="Примечание 12 3 5 5" xfId="12880"/>
    <cellStyle name="Примечание 12 3 6" xfId="12881"/>
    <cellStyle name="Примечание 12 3 6 2" xfId="12882"/>
    <cellStyle name="Примечание 12 3 6 3" xfId="12883"/>
    <cellStyle name="Примечание 12 3 6 4" xfId="12884"/>
    <cellStyle name="Примечание 12 3 7" xfId="12885"/>
    <cellStyle name="Примечание 12 3 8" xfId="12886"/>
    <cellStyle name="Примечание 12 3 9" xfId="12887"/>
    <cellStyle name="Примечание 12 4" xfId="12888"/>
    <cellStyle name="Примечание 12 4 2" xfId="12889"/>
    <cellStyle name="Примечание 12 4 2 2" xfId="12890"/>
    <cellStyle name="Примечание 12 4 2 2 2" xfId="12891"/>
    <cellStyle name="Примечание 12 4 2 2 3" xfId="12892"/>
    <cellStyle name="Примечание 12 4 2 2 4" xfId="12893"/>
    <cellStyle name="Примечание 12 4 2 3" xfId="12894"/>
    <cellStyle name="Примечание 12 4 2 4" xfId="12895"/>
    <cellStyle name="Примечание 12 4 2 5" xfId="12896"/>
    <cellStyle name="Примечание 12 4 3" xfId="12897"/>
    <cellStyle name="Примечание 12 4 3 2" xfId="12898"/>
    <cellStyle name="Примечание 12 4 3 2 2" xfId="12899"/>
    <cellStyle name="Примечание 12 4 3 2 3" xfId="12900"/>
    <cellStyle name="Примечание 12 4 3 2 4" xfId="12901"/>
    <cellStyle name="Примечание 12 4 3 3" xfId="12902"/>
    <cellStyle name="Примечание 12 4 3 4" xfId="12903"/>
    <cellStyle name="Примечание 12 4 3 5" xfId="12904"/>
    <cellStyle name="Примечание 12 4 4" xfId="12905"/>
    <cellStyle name="Примечание 12 4 4 2" xfId="12906"/>
    <cellStyle name="Примечание 12 4 4 2 2" xfId="12907"/>
    <cellStyle name="Примечание 12 4 4 2 3" xfId="12908"/>
    <cellStyle name="Примечание 12 4 4 2 4" xfId="12909"/>
    <cellStyle name="Примечание 12 4 4 3" xfId="12910"/>
    <cellStyle name="Примечание 12 4 4 4" xfId="12911"/>
    <cellStyle name="Примечание 12 4 4 5" xfId="12912"/>
    <cellStyle name="Примечание 12 4 5" xfId="12913"/>
    <cellStyle name="Примечание 12 4 5 2" xfId="12914"/>
    <cellStyle name="Примечание 12 4 5 2 2" xfId="12915"/>
    <cellStyle name="Примечание 12 4 5 2 3" xfId="12916"/>
    <cellStyle name="Примечание 12 4 5 2 4" xfId="12917"/>
    <cellStyle name="Примечание 12 4 5 3" xfId="12918"/>
    <cellStyle name="Примечание 12 4 5 4" xfId="12919"/>
    <cellStyle name="Примечание 12 4 5 5" xfId="12920"/>
    <cellStyle name="Примечание 12 4 6" xfId="12921"/>
    <cellStyle name="Примечание 12 4 6 2" xfId="12922"/>
    <cellStyle name="Примечание 12 4 6 3" xfId="12923"/>
    <cellStyle name="Примечание 12 4 6 4" xfId="12924"/>
    <cellStyle name="Примечание 12 4 7" xfId="12925"/>
    <cellStyle name="Примечание 12 4 8" xfId="12926"/>
    <cellStyle name="Примечание 12 4 9" xfId="12927"/>
    <cellStyle name="Примечание 12 5" xfId="12928"/>
    <cellStyle name="Примечание 12 5 2" xfId="12929"/>
    <cellStyle name="Примечание 12 5 2 2" xfId="12930"/>
    <cellStyle name="Примечание 12 5 2 3" xfId="12931"/>
    <cellStyle name="Примечание 12 5 2 4" xfId="12932"/>
    <cellStyle name="Примечание 12 5 3" xfId="12933"/>
    <cellStyle name="Примечание 12 5 4" xfId="12934"/>
    <cellStyle name="Примечание 12 5 5" xfId="12935"/>
    <cellStyle name="Примечание 12 6" xfId="12936"/>
    <cellStyle name="Примечание 12 6 2" xfId="12937"/>
    <cellStyle name="Примечание 12 6 2 2" xfId="12938"/>
    <cellStyle name="Примечание 12 6 2 3" xfId="12939"/>
    <cellStyle name="Примечание 12 6 2 4" xfId="12940"/>
    <cellStyle name="Примечание 12 6 3" xfId="12941"/>
    <cellStyle name="Примечание 12 6 4" xfId="12942"/>
    <cellStyle name="Примечание 12 6 5" xfId="12943"/>
    <cellStyle name="Примечание 12 7" xfId="12944"/>
    <cellStyle name="Примечание 12 7 2" xfId="12945"/>
    <cellStyle name="Примечание 12 7 2 2" xfId="12946"/>
    <cellStyle name="Примечание 12 7 2 3" xfId="12947"/>
    <cellStyle name="Примечание 12 7 2 4" xfId="12948"/>
    <cellStyle name="Примечание 12 7 3" xfId="12949"/>
    <cellStyle name="Примечание 12 7 4" xfId="12950"/>
    <cellStyle name="Примечание 12 7 5" xfId="12951"/>
    <cellStyle name="Примечание 12 8" xfId="12952"/>
    <cellStyle name="Примечание 12 8 2" xfId="12953"/>
    <cellStyle name="Примечание 12 8 2 2" xfId="12954"/>
    <cellStyle name="Примечание 12 8 2 3" xfId="12955"/>
    <cellStyle name="Примечание 12 8 2 4" xfId="12956"/>
    <cellStyle name="Примечание 12 8 3" xfId="12957"/>
    <cellStyle name="Примечание 12 8 4" xfId="12958"/>
    <cellStyle name="Примечание 12 8 5" xfId="12959"/>
    <cellStyle name="Примечание 12 9" xfId="12960"/>
    <cellStyle name="Примечание 12 9 2" xfId="12961"/>
    <cellStyle name="Примечание 12 9 3" xfId="12962"/>
    <cellStyle name="Примечание 12 9 4" xfId="12963"/>
    <cellStyle name="Примечание 12_46EE.2011(v1.0)" xfId="12964"/>
    <cellStyle name="Примечание 13" xfId="12965"/>
    <cellStyle name="Примечание 13 2" xfId="12966"/>
    <cellStyle name="Примечание 13 2 2" xfId="12967"/>
    <cellStyle name="Примечание 13 2 2 2" xfId="12968"/>
    <cellStyle name="Примечание 13 2 2 3" xfId="12969"/>
    <cellStyle name="Примечание 13 2 2 4" xfId="12970"/>
    <cellStyle name="Примечание 13 2 3" xfId="12971"/>
    <cellStyle name="Примечание 13 2 4" xfId="12972"/>
    <cellStyle name="Примечание 13 2 5" xfId="12973"/>
    <cellStyle name="Примечание 13 3" xfId="12974"/>
    <cellStyle name="Примечание 13 3 2" xfId="12975"/>
    <cellStyle name="Примечание 13 3 2 2" xfId="12976"/>
    <cellStyle name="Примечание 13 3 2 3" xfId="12977"/>
    <cellStyle name="Примечание 13 3 2 4" xfId="12978"/>
    <cellStyle name="Примечание 13 3 3" xfId="12979"/>
    <cellStyle name="Примечание 13 3 4" xfId="12980"/>
    <cellStyle name="Примечание 13 3 5" xfId="12981"/>
    <cellStyle name="Примечание 13 4" xfId="12982"/>
    <cellStyle name="Примечание 13 4 2" xfId="12983"/>
    <cellStyle name="Примечание 13 4 2 2" xfId="12984"/>
    <cellStyle name="Примечание 13 4 2 3" xfId="12985"/>
    <cellStyle name="Примечание 13 4 2 4" xfId="12986"/>
    <cellStyle name="Примечание 13 4 3" xfId="12987"/>
    <cellStyle name="Примечание 13 4 4" xfId="12988"/>
    <cellStyle name="Примечание 13 4 5" xfId="12989"/>
    <cellStyle name="Примечание 13 5" xfId="12990"/>
    <cellStyle name="Примечание 13 5 2" xfId="12991"/>
    <cellStyle name="Примечание 13 5 2 2" xfId="12992"/>
    <cellStyle name="Примечание 13 5 2 3" xfId="12993"/>
    <cellStyle name="Примечание 13 5 2 4" xfId="12994"/>
    <cellStyle name="Примечание 13 5 3" xfId="12995"/>
    <cellStyle name="Примечание 13 5 4" xfId="12996"/>
    <cellStyle name="Примечание 13 5 5" xfId="12997"/>
    <cellStyle name="Примечание 13 6" xfId="12998"/>
    <cellStyle name="Примечание 13 6 2" xfId="12999"/>
    <cellStyle name="Примечание 13 6 3" xfId="13000"/>
    <cellStyle name="Примечание 13 6 4" xfId="13001"/>
    <cellStyle name="Примечание 13 7" xfId="13002"/>
    <cellStyle name="Примечание 13 8" xfId="13003"/>
    <cellStyle name="Примечание 13 9" xfId="13004"/>
    <cellStyle name="Примечание 14" xfId="13005"/>
    <cellStyle name="Примечание 14 2" xfId="13006"/>
    <cellStyle name="Примечание 14 2 2" xfId="13007"/>
    <cellStyle name="Примечание 14 2 2 2" xfId="13008"/>
    <cellStyle name="Примечание 14 2 2 3" xfId="13009"/>
    <cellStyle name="Примечание 14 2 2 4" xfId="13010"/>
    <cellStyle name="Примечание 14 2 3" xfId="13011"/>
    <cellStyle name="Примечание 14 2 4" xfId="13012"/>
    <cellStyle name="Примечание 14 2 5" xfId="13013"/>
    <cellStyle name="Примечание 14 3" xfId="13014"/>
    <cellStyle name="Примечание 14 3 2" xfId="13015"/>
    <cellStyle name="Примечание 14 3 2 2" xfId="13016"/>
    <cellStyle name="Примечание 14 3 2 3" xfId="13017"/>
    <cellStyle name="Примечание 14 3 2 4" xfId="13018"/>
    <cellStyle name="Примечание 14 3 3" xfId="13019"/>
    <cellStyle name="Примечание 14 3 4" xfId="13020"/>
    <cellStyle name="Примечание 14 3 5" xfId="13021"/>
    <cellStyle name="Примечание 14 4" xfId="13022"/>
    <cellStyle name="Примечание 14 4 2" xfId="13023"/>
    <cellStyle name="Примечание 14 4 2 2" xfId="13024"/>
    <cellStyle name="Примечание 14 4 2 3" xfId="13025"/>
    <cellStyle name="Примечание 14 4 2 4" xfId="13026"/>
    <cellStyle name="Примечание 14 4 3" xfId="13027"/>
    <cellStyle name="Примечание 14 4 4" xfId="13028"/>
    <cellStyle name="Примечание 14 4 5" xfId="13029"/>
    <cellStyle name="Примечание 14 5" xfId="13030"/>
    <cellStyle name="Примечание 14 5 2" xfId="13031"/>
    <cellStyle name="Примечание 14 5 2 2" xfId="13032"/>
    <cellStyle name="Примечание 14 5 2 3" xfId="13033"/>
    <cellStyle name="Примечание 14 5 2 4" xfId="13034"/>
    <cellStyle name="Примечание 14 5 3" xfId="13035"/>
    <cellStyle name="Примечание 14 5 4" xfId="13036"/>
    <cellStyle name="Примечание 14 5 5" xfId="13037"/>
    <cellStyle name="Примечание 14 6" xfId="13038"/>
    <cellStyle name="Примечание 14 6 2" xfId="13039"/>
    <cellStyle name="Примечание 14 6 3" xfId="13040"/>
    <cellStyle name="Примечание 14 6 4" xfId="13041"/>
    <cellStyle name="Примечание 14 7" xfId="13042"/>
    <cellStyle name="Примечание 14 8" xfId="13043"/>
    <cellStyle name="Примечание 14 9" xfId="13044"/>
    <cellStyle name="Примечание 15" xfId="13045"/>
    <cellStyle name="Примечание 15 2" xfId="13046"/>
    <cellStyle name="Примечание 15 2 2" xfId="13047"/>
    <cellStyle name="Примечание 15 2 2 2" xfId="13048"/>
    <cellStyle name="Примечание 15 2 2 3" xfId="13049"/>
    <cellStyle name="Примечание 15 2 2 4" xfId="13050"/>
    <cellStyle name="Примечание 15 2 3" xfId="13051"/>
    <cellStyle name="Примечание 15 2 4" xfId="13052"/>
    <cellStyle name="Примечание 15 2 5" xfId="13053"/>
    <cellStyle name="Примечание 15 3" xfId="13054"/>
    <cellStyle name="Примечание 15 3 2" xfId="13055"/>
    <cellStyle name="Примечание 15 3 2 2" xfId="13056"/>
    <cellStyle name="Примечание 15 3 2 3" xfId="13057"/>
    <cellStyle name="Примечание 15 3 2 4" xfId="13058"/>
    <cellStyle name="Примечание 15 3 3" xfId="13059"/>
    <cellStyle name="Примечание 15 3 4" xfId="13060"/>
    <cellStyle name="Примечание 15 3 5" xfId="13061"/>
    <cellStyle name="Примечание 15 4" xfId="13062"/>
    <cellStyle name="Примечание 15 4 2" xfId="13063"/>
    <cellStyle name="Примечание 15 4 2 2" xfId="13064"/>
    <cellStyle name="Примечание 15 4 2 3" xfId="13065"/>
    <cellStyle name="Примечание 15 4 2 4" xfId="13066"/>
    <cellStyle name="Примечание 15 4 3" xfId="13067"/>
    <cellStyle name="Примечание 15 4 4" xfId="13068"/>
    <cellStyle name="Примечание 15 4 5" xfId="13069"/>
    <cellStyle name="Примечание 15 5" xfId="13070"/>
    <cellStyle name="Примечание 15 5 2" xfId="13071"/>
    <cellStyle name="Примечание 15 5 2 2" xfId="13072"/>
    <cellStyle name="Примечание 15 5 2 3" xfId="13073"/>
    <cellStyle name="Примечание 15 5 2 4" xfId="13074"/>
    <cellStyle name="Примечание 15 5 3" xfId="13075"/>
    <cellStyle name="Примечание 15 5 4" xfId="13076"/>
    <cellStyle name="Примечание 15 5 5" xfId="13077"/>
    <cellStyle name="Примечание 15 6" xfId="13078"/>
    <cellStyle name="Примечание 15 6 2" xfId="13079"/>
    <cellStyle name="Примечание 15 6 3" xfId="13080"/>
    <cellStyle name="Примечание 15 6 4" xfId="13081"/>
    <cellStyle name="Примечание 15 7" xfId="13082"/>
    <cellStyle name="Примечание 15 8" xfId="13083"/>
    <cellStyle name="Примечание 15 9" xfId="13084"/>
    <cellStyle name="Примечание 16" xfId="13085"/>
    <cellStyle name="Примечание 16 2" xfId="13086"/>
    <cellStyle name="Примечание 16 2 2" xfId="13087"/>
    <cellStyle name="Примечание 16 2 2 2" xfId="13088"/>
    <cellStyle name="Примечание 16 2 2 3" xfId="13089"/>
    <cellStyle name="Примечание 16 2 2 4" xfId="13090"/>
    <cellStyle name="Примечание 16 2 3" xfId="13091"/>
    <cellStyle name="Примечание 16 2 4" xfId="13092"/>
    <cellStyle name="Примечание 16 2 5" xfId="13093"/>
    <cellStyle name="Примечание 16 3" xfId="13094"/>
    <cellStyle name="Примечание 16 3 2" xfId="13095"/>
    <cellStyle name="Примечание 16 3 2 2" xfId="13096"/>
    <cellStyle name="Примечание 16 3 2 3" xfId="13097"/>
    <cellStyle name="Примечание 16 3 2 4" xfId="13098"/>
    <cellStyle name="Примечание 16 3 3" xfId="13099"/>
    <cellStyle name="Примечание 16 3 4" xfId="13100"/>
    <cellStyle name="Примечание 16 3 5" xfId="13101"/>
    <cellStyle name="Примечание 16 4" xfId="13102"/>
    <cellStyle name="Примечание 16 4 2" xfId="13103"/>
    <cellStyle name="Примечание 16 4 2 2" xfId="13104"/>
    <cellStyle name="Примечание 16 4 2 3" xfId="13105"/>
    <cellStyle name="Примечание 16 4 2 4" xfId="13106"/>
    <cellStyle name="Примечание 16 4 3" xfId="13107"/>
    <cellStyle name="Примечание 16 4 4" xfId="13108"/>
    <cellStyle name="Примечание 16 4 5" xfId="13109"/>
    <cellStyle name="Примечание 16 5" xfId="13110"/>
    <cellStyle name="Примечание 16 5 2" xfId="13111"/>
    <cellStyle name="Примечание 16 5 2 2" xfId="13112"/>
    <cellStyle name="Примечание 16 5 2 3" xfId="13113"/>
    <cellStyle name="Примечание 16 5 2 4" xfId="13114"/>
    <cellStyle name="Примечание 16 5 3" xfId="13115"/>
    <cellStyle name="Примечание 16 5 4" xfId="13116"/>
    <cellStyle name="Примечание 16 5 5" xfId="13117"/>
    <cellStyle name="Примечание 16 6" xfId="13118"/>
    <cellStyle name="Примечание 16 6 2" xfId="13119"/>
    <cellStyle name="Примечание 16 6 3" xfId="13120"/>
    <cellStyle name="Примечание 16 6 4" xfId="13121"/>
    <cellStyle name="Примечание 16 7" xfId="13122"/>
    <cellStyle name="Примечание 16 8" xfId="13123"/>
    <cellStyle name="Примечание 16 9" xfId="13124"/>
    <cellStyle name="Примечание 17" xfId="13125"/>
    <cellStyle name="Примечание 17 2" xfId="13126"/>
    <cellStyle name="Примечание 17 2 2" xfId="13127"/>
    <cellStyle name="Примечание 17 2 2 2" xfId="13128"/>
    <cellStyle name="Примечание 17 2 2 3" xfId="13129"/>
    <cellStyle name="Примечание 17 2 2 4" xfId="13130"/>
    <cellStyle name="Примечание 17 2 3" xfId="13131"/>
    <cellStyle name="Примечание 17 2 4" xfId="13132"/>
    <cellStyle name="Примечание 17 2 5" xfId="13133"/>
    <cellStyle name="Примечание 17 3" xfId="13134"/>
    <cellStyle name="Примечание 17 3 2" xfId="13135"/>
    <cellStyle name="Примечание 17 3 2 2" xfId="13136"/>
    <cellStyle name="Примечание 17 3 2 3" xfId="13137"/>
    <cellStyle name="Примечание 17 3 2 4" xfId="13138"/>
    <cellStyle name="Примечание 17 3 3" xfId="13139"/>
    <cellStyle name="Примечание 17 3 4" xfId="13140"/>
    <cellStyle name="Примечание 17 3 5" xfId="13141"/>
    <cellStyle name="Примечание 17 4" xfId="13142"/>
    <cellStyle name="Примечание 17 4 2" xfId="13143"/>
    <cellStyle name="Примечание 17 4 2 2" xfId="13144"/>
    <cellStyle name="Примечание 17 4 2 3" xfId="13145"/>
    <cellStyle name="Примечание 17 4 2 4" xfId="13146"/>
    <cellStyle name="Примечание 17 4 3" xfId="13147"/>
    <cellStyle name="Примечание 17 4 4" xfId="13148"/>
    <cellStyle name="Примечание 17 4 5" xfId="13149"/>
    <cellStyle name="Примечание 17 5" xfId="13150"/>
    <cellStyle name="Примечание 17 5 2" xfId="13151"/>
    <cellStyle name="Примечание 17 5 2 2" xfId="13152"/>
    <cellStyle name="Примечание 17 5 2 3" xfId="13153"/>
    <cellStyle name="Примечание 17 5 2 4" xfId="13154"/>
    <cellStyle name="Примечание 17 5 3" xfId="13155"/>
    <cellStyle name="Примечание 17 5 4" xfId="13156"/>
    <cellStyle name="Примечание 17 5 5" xfId="13157"/>
    <cellStyle name="Примечание 17 6" xfId="13158"/>
    <cellStyle name="Примечание 17 6 2" xfId="13159"/>
    <cellStyle name="Примечание 17 6 3" xfId="13160"/>
    <cellStyle name="Примечание 17 6 4" xfId="13161"/>
    <cellStyle name="Примечание 17 7" xfId="13162"/>
    <cellStyle name="Примечание 17 8" xfId="13163"/>
    <cellStyle name="Примечание 17 9" xfId="13164"/>
    <cellStyle name="Примечание 18" xfId="13165"/>
    <cellStyle name="Примечание 18 2" xfId="13166"/>
    <cellStyle name="Примечание 18 2 2" xfId="13167"/>
    <cellStyle name="Примечание 18 2 2 2" xfId="13168"/>
    <cellStyle name="Примечание 18 2 2 3" xfId="13169"/>
    <cellStyle name="Примечание 18 2 2 4" xfId="13170"/>
    <cellStyle name="Примечание 18 2 3" xfId="13171"/>
    <cellStyle name="Примечание 18 2 4" xfId="13172"/>
    <cellStyle name="Примечание 18 2 5" xfId="13173"/>
    <cellStyle name="Примечание 18 3" xfId="13174"/>
    <cellStyle name="Примечание 18 3 2" xfId="13175"/>
    <cellStyle name="Примечание 18 3 2 2" xfId="13176"/>
    <cellStyle name="Примечание 18 3 2 3" xfId="13177"/>
    <cellStyle name="Примечание 18 3 2 4" xfId="13178"/>
    <cellStyle name="Примечание 18 3 3" xfId="13179"/>
    <cellStyle name="Примечание 18 3 4" xfId="13180"/>
    <cellStyle name="Примечание 18 3 5" xfId="13181"/>
    <cellStyle name="Примечание 18 4" xfId="13182"/>
    <cellStyle name="Примечание 18 4 2" xfId="13183"/>
    <cellStyle name="Примечание 18 4 2 2" xfId="13184"/>
    <cellStyle name="Примечание 18 4 2 3" xfId="13185"/>
    <cellStyle name="Примечание 18 4 2 4" xfId="13186"/>
    <cellStyle name="Примечание 18 4 3" xfId="13187"/>
    <cellStyle name="Примечание 18 4 4" xfId="13188"/>
    <cellStyle name="Примечание 18 4 5" xfId="13189"/>
    <cellStyle name="Примечание 18 5" xfId="13190"/>
    <cellStyle name="Примечание 18 5 2" xfId="13191"/>
    <cellStyle name="Примечание 18 5 2 2" xfId="13192"/>
    <cellStyle name="Примечание 18 5 2 3" xfId="13193"/>
    <cellStyle name="Примечание 18 5 2 4" xfId="13194"/>
    <cellStyle name="Примечание 18 5 3" xfId="13195"/>
    <cellStyle name="Примечание 18 5 4" xfId="13196"/>
    <cellStyle name="Примечание 18 5 5" xfId="13197"/>
    <cellStyle name="Примечание 18 6" xfId="13198"/>
    <cellStyle name="Примечание 18 6 2" xfId="13199"/>
    <cellStyle name="Примечание 18 6 3" xfId="13200"/>
    <cellStyle name="Примечание 18 6 4" xfId="13201"/>
    <cellStyle name="Примечание 18 7" xfId="13202"/>
    <cellStyle name="Примечание 18 8" xfId="13203"/>
    <cellStyle name="Примечание 18 9" xfId="13204"/>
    <cellStyle name="Примечание 19" xfId="13205"/>
    <cellStyle name="Примечание 19 2" xfId="13206"/>
    <cellStyle name="Примечание 19 2 2" xfId="13207"/>
    <cellStyle name="Примечание 19 2 2 2" xfId="13208"/>
    <cellStyle name="Примечание 19 2 2 3" xfId="13209"/>
    <cellStyle name="Примечание 19 2 2 4" xfId="13210"/>
    <cellStyle name="Примечание 19 2 3" xfId="13211"/>
    <cellStyle name="Примечание 19 2 4" xfId="13212"/>
    <cellStyle name="Примечание 19 2 5" xfId="13213"/>
    <cellStyle name="Примечание 19 3" xfId="13214"/>
    <cellStyle name="Примечание 19 3 2" xfId="13215"/>
    <cellStyle name="Примечание 19 3 2 2" xfId="13216"/>
    <cellStyle name="Примечание 19 3 2 3" xfId="13217"/>
    <cellStyle name="Примечание 19 3 2 4" xfId="13218"/>
    <cellStyle name="Примечание 19 3 3" xfId="13219"/>
    <cellStyle name="Примечание 19 3 4" xfId="13220"/>
    <cellStyle name="Примечание 19 3 5" xfId="13221"/>
    <cellStyle name="Примечание 19 4" xfId="13222"/>
    <cellStyle name="Примечание 19 4 2" xfId="13223"/>
    <cellStyle name="Примечание 19 4 2 2" xfId="13224"/>
    <cellStyle name="Примечание 19 4 2 3" xfId="13225"/>
    <cellStyle name="Примечание 19 4 2 4" xfId="13226"/>
    <cellStyle name="Примечание 19 4 3" xfId="13227"/>
    <cellStyle name="Примечание 19 4 4" xfId="13228"/>
    <cellStyle name="Примечание 19 4 5" xfId="13229"/>
    <cellStyle name="Примечание 19 5" xfId="13230"/>
    <cellStyle name="Примечание 19 5 2" xfId="13231"/>
    <cellStyle name="Примечание 19 5 2 2" xfId="13232"/>
    <cellStyle name="Примечание 19 5 2 3" xfId="13233"/>
    <cellStyle name="Примечание 19 5 2 4" xfId="13234"/>
    <cellStyle name="Примечание 19 5 3" xfId="13235"/>
    <cellStyle name="Примечание 19 5 4" xfId="13236"/>
    <cellStyle name="Примечание 19 5 5" xfId="13237"/>
    <cellStyle name="Примечание 19 6" xfId="13238"/>
    <cellStyle name="Примечание 19 6 2" xfId="13239"/>
    <cellStyle name="Примечание 19 6 3" xfId="13240"/>
    <cellStyle name="Примечание 19 6 4" xfId="13241"/>
    <cellStyle name="Примечание 19 7" xfId="13242"/>
    <cellStyle name="Примечание 19 8" xfId="13243"/>
    <cellStyle name="Примечание 19 9" xfId="13244"/>
    <cellStyle name="Примечание 2" xfId="13245"/>
    <cellStyle name="Примечание 2 10" xfId="13246"/>
    <cellStyle name="Примечание 2 10 2" xfId="13247"/>
    <cellStyle name="Примечание 2 10 2 2" xfId="13248"/>
    <cellStyle name="Примечание 2 10 2 3" xfId="13249"/>
    <cellStyle name="Примечание 2 10 2 4" xfId="13250"/>
    <cellStyle name="Примечание 2 10 3" xfId="13251"/>
    <cellStyle name="Примечание 2 10 4" xfId="13252"/>
    <cellStyle name="Примечание 2 10 5" xfId="13253"/>
    <cellStyle name="Примечание 2 11" xfId="13254"/>
    <cellStyle name="Примечание 2 11 2" xfId="13255"/>
    <cellStyle name="Примечание 2 11 2 2" xfId="13256"/>
    <cellStyle name="Примечание 2 11 2 3" xfId="13257"/>
    <cellStyle name="Примечание 2 11 2 4" xfId="13258"/>
    <cellStyle name="Примечание 2 11 3" xfId="13259"/>
    <cellStyle name="Примечание 2 11 4" xfId="13260"/>
    <cellStyle name="Примечание 2 11 5" xfId="13261"/>
    <cellStyle name="Примечание 2 12" xfId="13262"/>
    <cellStyle name="Примечание 2 12 2" xfId="13263"/>
    <cellStyle name="Примечание 2 12 2 2" xfId="13264"/>
    <cellStyle name="Примечание 2 12 2 3" xfId="13265"/>
    <cellStyle name="Примечание 2 12 2 4" xfId="13266"/>
    <cellStyle name="Примечание 2 12 3" xfId="13267"/>
    <cellStyle name="Примечание 2 12 4" xfId="13268"/>
    <cellStyle name="Примечание 2 12 5" xfId="13269"/>
    <cellStyle name="Примечание 2 13" xfId="13270"/>
    <cellStyle name="Примечание 2 13 2" xfId="13271"/>
    <cellStyle name="Примечание 2 13 2 2" xfId="13272"/>
    <cellStyle name="Примечание 2 13 2 3" xfId="13273"/>
    <cellStyle name="Примечание 2 13 2 4" xfId="13274"/>
    <cellStyle name="Примечание 2 13 3" xfId="13275"/>
    <cellStyle name="Примечание 2 13 4" xfId="13276"/>
    <cellStyle name="Примечание 2 13 5" xfId="13277"/>
    <cellStyle name="Примечание 2 14" xfId="13278"/>
    <cellStyle name="Примечание 2 14 2" xfId="13279"/>
    <cellStyle name="Примечание 2 14 3" xfId="13280"/>
    <cellStyle name="Примечание 2 14 4" xfId="13281"/>
    <cellStyle name="Примечание 2 15" xfId="13282"/>
    <cellStyle name="Примечание 2 16" xfId="13283"/>
    <cellStyle name="Примечание 2 17" xfId="13284"/>
    <cellStyle name="Примечание 2 18" xfId="13285"/>
    <cellStyle name="Примечание 2 19" xfId="13286"/>
    <cellStyle name="Примечание 2 2" xfId="13287"/>
    <cellStyle name="Примечание 2 2 2" xfId="13288"/>
    <cellStyle name="Примечание 2 2 2 2" xfId="13289"/>
    <cellStyle name="Примечание 2 2 2 2 2" xfId="13290"/>
    <cellStyle name="Примечание 2 2 2 2 3" xfId="13291"/>
    <cellStyle name="Примечание 2 2 2 2 4" xfId="13292"/>
    <cellStyle name="Примечание 2 2 2 3" xfId="13293"/>
    <cellStyle name="Примечание 2 2 2 4" xfId="13294"/>
    <cellStyle name="Примечание 2 2 2 5" xfId="13295"/>
    <cellStyle name="Примечание 2 2 3" xfId="13296"/>
    <cellStyle name="Примечание 2 2 3 2" xfId="13297"/>
    <cellStyle name="Примечание 2 2 3 2 2" xfId="13298"/>
    <cellStyle name="Примечание 2 2 3 2 3" xfId="13299"/>
    <cellStyle name="Примечание 2 2 3 2 4" xfId="13300"/>
    <cellStyle name="Примечание 2 2 3 3" xfId="13301"/>
    <cellStyle name="Примечание 2 2 3 4" xfId="13302"/>
    <cellStyle name="Примечание 2 2 3 5" xfId="13303"/>
    <cellStyle name="Примечание 2 2 4" xfId="13304"/>
    <cellStyle name="Примечание 2 2 4 2" xfId="13305"/>
    <cellStyle name="Примечание 2 2 4 2 2" xfId="13306"/>
    <cellStyle name="Примечание 2 2 4 2 3" xfId="13307"/>
    <cellStyle name="Примечание 2 2 4 2 4" xfId="13308"/>
    <cellStyle name="Примечание 2 2 4 3" xfId="13309"/>
    <cellStyle name="Примечание 2 2 4 4" xfId="13310"/>
    <cellStyle name="Примечание 2 2 4 5" xfId="13311"/>
    <cellStyle name="Примечание 2 2 5" xfId="13312"/>
    <cellStyle name="Примечание 2 2 5 2" xfId="13313"/>
    <cellStyle name="Примечание 2 2 5 2 2" xfId="13314"/>
    <cellStyle name="Примечание 2 2 5 2 3" xfId="13315"/>
    <cellStyle name="Примечание 2 2 5 2 4" xfId="13316"/>
    <cellStyle name="Примечание 2 2 5 3" xfId="13317"/>
    <cellStyle name="Примечание 2 2 5 4" xfId="13318"/>
    <cellStyle name="Примечание 2 2 5 5" xfId="13319"/>
    <cellStyle name="Примечание 2 2 6" xfId="13320"/>
    <cellStyle name="Примечание 2 2 6 2" xfId="13321"/>
    <cellStyle name="Примечание 2 2 6 3" xfId="13322"/>
    <cellStyle name="Примечание 2 2 6 4" xfId="13323"/>
    <cellStyle name="Примечание 2 2 7" xfId="13324"/>
    <cellStyle name="Примечание 2 2 8" xfId="13325"/>
    <cellStyle name="Примечание 2 2 9" xfId="13326"/>
    <cellStyle name="Примечание 2 20" xfId="13327"/>
    <cellStyle name="Примечание 2 21" xfId="13328"/>
    <cellStyle name="Примечание 2 22" xfId="13329"/>
    <cellStyle name="Примечание 2 23" xfId="13330"/>
    <cellStyle name="Примечание 2 24" xfId="13331"/>
    <cellStyle name="Примечание 2 25" xfId="13332"/>
    <cellStyle name="Примечание 2 26" xfId="13333"/>
    <cellStyle name="Примечание 2 27" xfId="13334"/>
    <cellStyle name="Примечание 2 28" xfId="13335"/>
    <cellStyle name="Примечание 2 29" xfId="13336"/>
    <cellStyle name="Примечание 2 3" xfId="13337"/>
    <cellStyle name="Примечание 2 3 2" xfId="13338"/>
    <cellStyle name="Примечание 2 3 2 2" xfId="13339"/>
    <cellStyle name="Примечание 2 3 2 2 2" xfId="13340"/>
    <cellStyle name="Примечание 2 3 2 2 3" xfId="13341"/>
    <cellStyle name="Примечание 2 3 2 2 4" xfId="13342"/>
    <cellStyle name="Примечание 2 3 2 3" xfId="13343"/>
    <cellStyle name="Примечание 2 3 2 4" xfId="13344"/>
    <cellStyle name="Примечание 2 3 2 5" xfId="13345"/>
    <cellStyle name="Примечание 2 3 3" xfId="13346"/>
    <cellStyle name="Примечание 2 3 3 2" xfId="13347"/>
    <cellStyle name="Примечание 2 3 3 2 2" xfId="13348"/>
    <cellStyle name="Примечание 2 3 3 2 3" xfId="13349"/>
    <cellStyle name="Примечание 2 3 3 2 4" xfId="13350"/>
    <cellStyle name="Примечание 2 3 3 3" xfId="13351"/>
    <cellStyle name="Примечание 2 3 3 4" xfId="13352"/>
    <cellStyle name="Примечание 2 3 3 5" xfId="13353"/>
    <cellStyle name="Примечание 2 3 4" xfId="13354"/>
    <cellStyle name="Примечание 2 3 4 2" xfId="13355"/>
    <cellStyle name="Примечание 2 3 4 2 2" xfId="13356"/>
    <cellStyle name="Примечание 2 3 4 2 3" xfId="13357"/>
    <cellStyle name="Примечание 2 3 4 2 4" xfId="13358"/>
    <cellStyle name="Примечание 2 3 4 3" xfId="13359"/>
    <cellStyle name="Примечание 2 3 4 4" xfId="13360"/>
    <cellStyle name="Примечание 2 3 4 5" xfId="13361"/>
    <cellStyle name="Примечание 2 3 5" xfId="13362"/>
    <cellStyle name="Примечание 2 3 5 2" xfId="13363"/>
    <cellStyle name="Примечание 2 3 5 2 2" xfId="13364"/>
    <cellStyle name="Примечание 2 3 5 2 3" xfId="13365"/>
    <cellStyle name="Примечание 2 3 5 2 4" xfId="13366"/>
    <cellStyle name="Примечание 2 3 5 3" xfId="13367"/>
    <cellStyle name="Примечание 2 3 5 4" xfId="13368"/>
    <cellStyle name="Примечание 2 3 5 5" xfId="13369"/>
    <cellStyle name="Примечание 2 3 6" xfId="13370"/>
    <cellStyle name="Примечание 2 3 6 2" xfId="13371"/>
    <cellStyle name="Примечание 2 3 6 3" xfId="13372"/>
    <cellStyle name="Примечание 2 3 6 4" xfId="13373"/>
    <cellStyle name="Примечание 2 3 7" xfId="13374"/>
    <cellStyle name="Примечание 2 3 8" xfId="13375"/>
    <cellStyle name="Примечание 2 3 9" xfId="13376"/>
    <cellStyle name="Примечание 2 30" xfId="13377"/>
    <cellStyle name="Примечание 2 31" xfId="13378"/>
    <cellStyle name="Примечание 2 32" xfId="13379"/>
    <cellStyle name="Примечание 2 33" xfId="13380"/>
    <cellStyle name="Примечание 2 34" xfId="13381"/>
    <cellStyle name="Примечание 2 35" xfId="13382"/>
    <cellStyle name="Примечание 2 36" xfId="13383"/>
    <cellStyle name="Примечание 2 37" xfId="13384"/>
    <cellStyle name="Примечание 2 38" xfId="13385"/>
    <cellStyle name="Примечание 2 39" xfId="13386"/>
    <cellStyle name="Примечание 2 4" xfId="13387"/>
    <cellStyle name="Примечание 2 4 2" xfId="13388"/>
    <cellStyle name="Примечание 2 4 2 2" xfId="13389"/>
    <cellStyle name="Примечание 2 4 2 2 2" xfId="13390"/>
    <cellStyle name="Примечание 2 4 2 2 3" xfId="13391"/>
    <cellStyle name="Примечание 2 4 2 2 4" xfId="13392"/>
    <cellStyle name="Примечание 2 4 2 3" xfId="13393"/>
    <cellStyle name="Примечание 2 4 2 4" xfId="13394"/>
    <cellStyle name="Примечание 2 4 2 5" xfId="13395"/>
    <cellStyle name="Примечание 2 4 3" xfId="13396"/>
    <cellStyle name="Примечание 2 4 3 2" xfId="13397"/>
    <cellStyle name="Примечание 2 4 3 2 2" xfId="13398"/>
    <cellStyle name="Примечание 2 4 3 2 3" xfId="13399"/>
    <cellStyle name="Примечание 2 4 3 2 4" xfId="13400"/>
    <cellStyle name="Примечание 2 4 3 3" xfId="13401"/>
    <cellStyle name="Примечание 2 4 3 4" xfId="13402"/>
    <cellStyle name="Примечание 2 4 3 5" xfId="13403"/>
    <cellStyle name="Примечание 2 4 4" xfId="13404"/>
    <cellStyle name="Примечание 2 4 4 2" xfId="13405"/>
    <cellStyle name="Примечание 2 4 4 2 2" xfId="13406"/>
    <cellStyle name="Примечание 2 4 4 2 3" xfId="13407"/>
    <cellStyle name="Примечание 2 4 4 2 4" xfId="13408"/>
    <cellStyle name="Примечание 2 4 4 3" xfId="13409"/>
    <cellStyle name="Примечание 2 4 4 4" xfId="13410"/>
    <cellStyle name="Примечание 2 4 4 5" xfId="13411"/>
    <cellStyle name="Примечание 2 4 5" xfId="13412"/>
    <cellStyle name="Примечание 2 4 5 2" xfId="13413"/>
    <cellStyle name="Примечание 2 4 5 2 2" xfId="13414"/>
    <cellStyle name="Примечание 2 4 5 2 3" xfId="13415"/>
    <cellStyle name="Примечание 2 4 5 2 4" xfId="13416"/>
    <cellStyle name="Примечание 2 4 5 3" xfId="13417"/>
    <cellStyle name="Примечание 2 4 5 4" xfId="13418"/>
    <cellStyle name="Примечание 2 4 5 5" xfId="13419"/>
    <cellStyle name="Примечание 2 4 6" xfId="13420"/>
    <cellStyle name="Примечание 2 4 6 2" xfId="13421"/>
    <cellStyle name="Примечание 2 4 6 3" xfId="13422"/>
    <cellStyle name="Примечание 2 4 6 4" xfId="13423"/>
    <cellStyle name="Примечание 2 4 7" xfId="13424"/>
    <cellStyle name="Примечание 2 4 8" xfId="13425"/>
    <cellStyle name="Примечание 2 4 9" xfId="13426"/>
    <cellStyle name="Примечание 2 40" xfId="13427"/>
    <cellStyle name="Примечание 2 41" xfId="13428"/>
    <cellStyle name="Примечание 2 42" xfId="13429"/>
    <cellStyle name="Примечание 2 43" xfId="13430"/>
    <cellStyle name="Примечание 2 44" xfId="13431"/>
    <cellStyle name="Примечание 2 5" xfId="13432"/>
    <cellStyle name="Примечание 2 5 2" xfId="13433"/>
    <cellStyle name="Примечание 2 5 2 2" xfId="13434"/>
    <cellStyle name="Примечание 2 5 2 2 2" xfId="13435"/>
    <cellStyle name="Примечание 2 5 2 2 3" xfId="13436"/>
    <cellStyle name="Примечание 2 5 2 2 4" xfId="13437"/>
    <cellStyle name="Примечание 2 5 2 3" xfId="13438"/>
    <cellStyle name="Примечание 2 5 2 4" xfId="13439"/>
    <cellStyle name="Примечание 2 5 2 5" xfId="13440"/>
    <cellStyle name="Примечание 2 5 3" xfId="13441"/>
    <cellStyle name="Примечание 2 5 3 2" xfId="13442"/>
    <cellStyle name="Примечание 2 5 3 2 2" xfId="13443"/>
    <cellStyle name="Примечание 2 5 3 2 3" xfId="13444"/>
    <cellStyle name="Примечание 2 5 3 2 4" xfId="13445"/>
    <cellStyle name="Примечание 2 5 3 3" xfId="13446"/>
    <cellStyle name="Примечание 2 5 3 4" xfId="13447"/>
    <cellStyle name="Примечание 2 5 3 5" xfId="13448"/>
    <cellStyle name="Примечание 2 5 4" xfId="13449"/>
    <cellStyle name="Примечание 2 5 4 2" xfId="13450"/>
    <cellStyle name="Примечание 2 5 4 2 2" xfId="13451"/>
    <cellStyle name="Примечание 2 5 4 2 3" xfId="13452"/>
    <cellStyle name="Примечание 2 5 4 2 4" xfId="13453"/>
    <cellStyle name="Примечание 2 5 4 3" xfId="13454"/>
    <cellStyle name="Примечание 2 5 4 4" xfId="13455"/>
    <cellStyle name="Примечание 2 5 4 5" xfId="13456"/>
    <cellStyle name="Примечание 2 5 5" xfId="13457"/>
    <cellStyle name="Примечание 2 5 5 2" xfId="13458"/>
    <cellStyle name="Примечание 2 5 5 2 2" xfId="13459"/>
    <cellStyle name="Примечание 2 5 5 2 3" xfId="13460"/>
    <cellStyle name="Примечание 2 5 5 2 4" xfId="13461"/>
    <cellStyle name="Примечание 2 5 5 3" xfId="13462"/>
    <cellStyle name="Примечание 2 5 5 4" xfId="13463"/>
    <cellStyle name="Примечание 2 5 5 5" xfId="13464"/>
    <cellStyle name="Примечание 2 5 6" xfId="13465"/>
    <cellStyle name="Примечание 2 5 6 2" xfId="13466"/>
    <cellStyle name="Примечание 2 5 6 3" xfId="13467"/>
    <cellStyle name="Примечание 2 5 6 4" xfId="13468"/>
    <cellStyle name="Примечание 2 5 7" xfId="13469"/>
    <cellStyle name="Примечание 2 5 8" xfId="13470"/>
    <cellStyle name="Примечание 2 5 9" xfId="13471"/>
    <cellStyle name="Примечание 2 6" xfId="13472"/>
    <cellStyle name="Примечание 2 6 2" xfId="13473"/>
    <cellStyle name="Примечание 2 6 2 2" xfId="13474"/>
    <cellStyle name="Примечание 2 6 2 2 2" xfId="13475"/>
    <cellStyle name="Примечание 2 6 2 2 3" xfId="13476"/>
    <cellStyle name="Примечание 2 6 2 2 4" xfId="13477"/>
    <cellStyle name="Примечание 2 6 2 3" xfId="13478"/>
    <cellStyle name="Примечание 2 6 2 4" xfId="13479"/>
    <cellStyle name="Примечание 2 6 2 5" xfId="13480"/>
    <cellStyle name="Примечание 2 6 3" xfId="13481"/>
    <cellStyle name="Примечание 2 6 3 2" xfId="13482"/>
    <cellStyle name="Примечание 2 6 3 2 2" xfId="13483"/>
    <cellStyle name="Примечание 2 6 3 2 3" xfId="13484"/>
    <cellStyle name="Примечание 2 6 3 2 4" xfId="13485"/>
    <cellStyle name="Примечание 2 6 3 3" xfId="13486"/>
    <cellStyle name="Примечание 2 6 3 4" xfId="13487"/>
    <cellStyle name="Примечание 2 6 3 5" xfId="13488"/>
    <cellStyle name="Примечание 2 6 4" xfId="13489"/>
    <cellStyle name="Примечание 2 6 4 2" xfId="13490"/>
    <cellStyle name="Примечание 2 6 4 2 2" xfId="13491"/>
    <cellStyle name="Примечание 2 6 4 2 3" xfId="13492"/>
    <cellStyle name="Примечание 2 6 4 2 4" xfId="13493"/>
    <cellStyle name="Примечание 2 6 4 3" xfId="13494"/>
    <cellStyle name="Примечание 2 6 4 4" xfId="13495"/>
    <cellStyle name="Примечание 2 6 4 5" xfId="13496"/>
    <cellStyle name="Примечание 2 6 5" xfId="13497"/>
    <cellStyle name="Примечание 2 6 5 2" xfId="13498"/>
    <cellStyle name="Примечание 2 6 5 2 2" xfId="13499"/>
    <cellStyle name="Примечание 2 6 5 2 3" xfId="13500"/>
    <cellStyle name="Примечание 2 6 5 2 4" xfId="13501"/>
    <cellStyle name="Примечание 2 6 5 3" xfId="13502"/>
    <cellStyle name="Примечание 2 6 5 4" xfId="13503"/>
    <cellStyle name="Примечание 2 6 5 5" xfId="13504"/>
    <cellStyle name="Примечание 2 6 6" xfId="13505"/>
    <cellStyle name="Примечание 2 6 6 2" xfId="13506"/>
    <cellStyle name="Примечание 2 6 6 3" xfId="13507"/>
    <cellStyle name="Примечание 2 6 6 4" xfId="13508"/>
    <cellStyle name="Примечание 2 6 7" xfId="13509"/>
    <cellStyle name="Примечание 2 6 8" xfId="13510"/>
    <cellStyle name="Примечание 2 6 9" xfId="13511"/>
    <cellStyle name="Примечание 2 7" xfId="13512"/>
    <cellStyle name="Примечание 2 7 2" xfId="13513"/>
    <cellStyle name="Примечание 2 7 2 2" xfId="13514"/>
    <cellStyle name="Примечание 2 7 2 2 2" xfId="13515"/>
    <cellStyle name="Примечание 2 7 2 2 3" xfId="13516"/>
    <cellStyle name="Примечание 2 7 2 2 4" xfId="13517"/>
    <cellStyle name="Примечание 2 7 2 3" xfId="13518"/>
    <cellStyle name="Примечание 2 7 2 4" xfId="13519"/>
    <cellStyle name="Примечание 2 7 2 5" xfId="13520"/>
    <cellStyle name="Примечание 2 7 3" xfId="13521"/>
    <cellStyle name="Примечание 2 7 3 2" xfId="13522"/>
    <cellStyle name="Примечание 2 7 3 2 2" xfId="13523"/>
    <cellStyle name="Примечание 2 7 3 2 3" xfId="13524"/>
    <cellStyle name="Примечание 2 7 3 2 4" xfId="13525"/>
    <cellStyle name="Примечание 2 7 3 3" xfId="13526"/>
    <cellStyle name="Примечание 2 7 3 4" xfId="13527"/>
    <cellStyle name="Примечание 2 7 3 5" xfId="13528"/>
    <cellStyle name="Примечание 2 7 4" xfId="13529"/>
    <cellStyle name="Примечание 2 7 4 2" xfId="13530"/>
    <cellStyle name="Примечание 2 7 4 2 2" xfId="13531"/>
    <cellStyle name="Примечание 2 7 4 2 3" xfId="13532"/>
    <cellStyle name="Примечание 2 7 4 2 4" xfId="13533"/>
    <cellStyle name="Примечание 2 7 4 3" xfId="13534"/>
    <cellStyle name="Примечание 2 7 4 4" xfId="13535"/>
    <cellStyle name="Примечание 2 7 4 5" xfId="13536"/>
    <cellStyle name="Примечание 2 7 5" xfId="13537"/>
    <cellStyle name="Примечание 2 7 5 2" xfId="13538"/>
    <cellStyle name="Примечание 2 7 5 2 2" xfId="13539"/>
    <cellStyle name="Примечание 2 7 5 2 3" xfId="13540"/>
    <cellStyle name="Примечание 2 7 5 2 4" xfId="13541"/>
    <cellStyle name="Примечание 2 7 5 3" xfId="13542"/>
    <cellStyle name="Примечание 2 7 5 4" xfId="13543"/>
    <cellStyle name="Примечание 2 7 5 5" xfId="13544"/>
    <cellStyle name="Примечание 2 7 6" xfId="13545"/>
    <cellStyle name="Примечание 2 7 6 2" xfId="13546"/>
    <cellStyle name="Примечание 2 7 6 3" xfId="13547"/>
    <cellStyle name="Примечание 2 7 6 4" xfId="13548"/>
    <cellStyle name="Примечание 2 7 7" xfId="13549"/>
    <cellStyle name="Примечание 2 7 8" xfId="13550"/>
    <cellStyle name="Примечание 2 7 9" xfId="13551"/>
    <cellStyle name="Примечание 2 8" xfId="13552"/>
    <cellStyle name="Примечание 2 8 2" xfId="13553"/>
    <cellStyle name="Примечание 2 8 2 2" xfId="13554"/>
    <cellStyle name="Примечание 2 8 2 2 2" xfId="13555"/>
    <cellStyle name="Примечание 2 8 2 2 3" xfId="13556"/>
    <cellStyle name="Примечание 2 8 2 2 4" xfId="13557"/>
    <cellStyle name="Примечание 2 8 2 3" xfId="13558"/>
    <cellStyle name="Примечание 2 8 2 4" xfId="13559"/>
    <cellStyle name="Примечание 2 8 2 5" xfId="13560"/>
    <cellStyle name="Примечание 2 8 3" xfId="13561"/>
    <cellStyle name="Примечание 2 8 3 2" xfId="13562"/>
    <cellStyle name="Примечание 2 8 3 2 2" xfId="13563"/>
    <cellStyle name="Примечание 2 8 3 2 3" xfId="13564"/>
    <cellStyle name="Примечание 2 8 3 2 4" xfId="13565"/>
    <cellStyle name="Примечание 2 8 3 3" xfId="13566"/>
    <cellStyle name="Примечание 2 8 3 4" xfId="13567"/>
    <cellStyle name="Примечание 2 8 3 5" xfId="13568"/>
    <cellStyle name="Примечание 2 8 4" xfId="13569"/>
    <cellStyle name="Примечание 2 8 4 2" xfId="13570"/>
    <cellStyle name="Примечание 2 8 4 2 2" xfId="13571"/>
    <cellStyle name="Примечание 2 8 4 2 3" xfId="13572"/>
    <cellStyle name="Примечание 2 8 4 2 4" xfId="13573"/>
    <cellStyle name="Примечание 2 8 4 3" xfId="13574"/>
    <cellStyle name="Примечание 2 8 4 4" xfId="13575"/>
    <cellStyle name="Примечание 2 8 4 5" xfId="13576"/>
    <cellStyle name="Примечание 2 8 5" xfId="13577"/>
    <cellStyle name="Примечание 2 8 5 2" xfId="13578"/>
    <cellStyle name="Примечание 2 8 5 2 2" xfId="13579"/>
    <cellStyle name="Примечание 2 8 5 2 3" xfId="13580"/>
    <cellStyle name="Примечание 2 8 5 2 4" xfId="13581"/>
    <cellStyle name="Примечание 2 8 5 3" xfId="13582"/>
    <cellStyle name="Примечание 2 8 5 4" xfId="13583"/>
    <cellStyle name="Примечание 2 8 5 5" xfId="13584"/>
    <cellStyle name="Примечание 2 8 6" xfId="13585"/>
    <cellStyle name="Примечание 2 8 6 2" xfId="13586"/>
    <cellStyle name="Примечание 2 8 6 3" xfId="13587"/>
    <cellStyle name="Примечание 2 8 6 4" xfId="13588"/>
    <cellStyle name="Примечание 2 8 7" xfId="13589"/>
    <cellStyle name="Примечание 2 8 8" xfId="13590"/>
    <cellStyle name="Примечание 2 8 9" xfId="13591"/>
    <cellStyle name="Примечание 2 9" xfId="13592"/>
    <cellStyle name="Примечание 2 9 2" xfId="13593"/>
    <cellStyle name="Примечание 2 9 2 2" xfId="13594"/>
    <cellStyle name="Примечание 2 9 2 2 2" xfId="13595"/>
    <cellStyle name="Примечание 2 9 2 2 3" xfId="13596"/>
    <cellStyle name="Примечание 2 9 2 2 4" xfId="13597"/>
    <cellStyle name="Примечание 2 9 2 3" xfId="13598"/>
    <cellStyle name="Примечание 2 9 2 4" xfId="13599"/>
    <cellStyle name="Примечание 2 9 2 5" xfId="13600"/>
    <cellStyle name="Примечание 2 9 3" xfId="13601"/>
    <cellStyle name="Примечание 2 9 3 2" xfId="13602"/>
    <cellStyle name="Примечание 2 9 3 2 2" xfId="13603"/>
    <cellStyle name="Примечание 2 9 3 2 3" xfId="13604"/>
    <cellStyle name="Примечание 2 9 3 2 4" xfId="13605"/>
    <cellStyle name="Примечание 2 9 3 3" xfId="13606"/>
    <cellStyle name="Примечание 2 9 3 4" xfId="13607"/>
    <cellStyle name="Примечание 2 9 3 5" xfId="13608"/>
    <cellStyle name="Примечание 2 9 4" xfId="13609"/>
    <cellStyle name="Примечание 2 9 4 2" xfId="13610"/>
    <cellStyle name="Примечание 2 9 4 2 2" xfId="13611"/>
    <cellStyle name="Примечание 2 9 4 2 3" xfId="13612"/>
    <cellStyle name="Примечание 2 9 4 2 4" xfId="13613"/>
    <cellStyle name="Примечание 2 9 4 3" xfId="13614"/>
    <cellStyle name="Примечание 2 9 4 4" xfId="13615"/>
    <cellStyle name="Примечание 2 9 4 5" xfId="13616"/>
    <cellStyle name="Примечание 2 9 5" xfId="13617"/>
    <cellStyle name="Примечание 2 9 5 2" xfId="13618"/>
    <cellStyle name="Примечание 2 9 5 2 2" xfId="13619"/>
    <cellStyle name="Примечание 2 9 5 2 3" xfId="13620"/>
    <cellStyle name="Примечание 2 9 5 2 4" xfId="13621"/>
    <cellStyle name="Примечание 2 9 5 3" xfId="13622"/>
    <cellStyle name="Примечание 2 9 5 4" xfId="13623"/>
    <cellStyle name="Примечание 2 9 5 5" xfId="13624"/>
    <cellStyle name="Примечание 2 9 6" xfId="13625"/>
    <cellStyle name="Примечание 2 9 6 2" xfId="13626"/>
    <cellStyle name="Примечание 2 9 6 3" xfId="13627"/>
    <cellStyle name="Примечание 2 9 6 4" xfId="13628"/>
    <cellStyle name="Примечание 2 9 7" xfId="13629"/>
    <cellStyle name="Примечание 2 9 8" xfId="13630"/>
    <cellStyle name="Примечание 2 9 9" xfId="13631"/>
    <cellStyle name="Примечание 2_46EE.2011(v1.0)" xfId="13632"/>
    <cellStyle name="Примечание 20" xfId="13633"/>
    <cellStyle name="Примечание 20 2" xfId="13634"/>
    <cellStyle name="Примечание 20 2 2" xfId="13635"/>
    <cellStyle name="Примечание 20 2 2 2" xfId="13636"/>
    <cellStyle name="Примечание 20 2 2 3" xfId="13637"/>
    <cellStyle name="Примечание 20 2 2 4" xfId="13638"/>
    <cellStyle name="Примечание 20 2 3" xfId="13639"/>
    <cellStyle name="Примечание 20 2 4" xfId="13640"/>
    <cellStyle name="Примечание 20 2 5" xfId="13641"/>
    <cellStyle name="Примечание 20 3" xfId="13642"/>
    <cellStyle name="Примечание 20 3 2" xfId="13643"/>
    <cellStyle name="Примечание 20 3 2 2" xfId="13644"/>
    <cellStyle name="Примечание 20 3 2 3" xfId="13645"/>
    <cellStyle name="Примечание 20 3 2 4" xfId="13646"/>
    <cellStyle name="Примечание 20 3 3" xfId="13647"/>
    <cellStyle name="Примечание 20 3 4" xfId="13648"/>
    <cellStyle name="Примечание 20 3 5" xfId="13649"/>
    <cellStyle name="Примечание 20 4" xfId="13650"/>
    <cellStyle name="Примечание 20 4 2" xfId="13651"/>
    <cellStyle name="Примечание 20 4 2 2" xfId="13652"/>
    <cellStyle name="Примечание 20 4 2 3" xfId="13653"/>
    <cellStyle name="Примечание 20 4 2 4" xfId="13654"/>
    <cellStyle name="Примечание 20 4 3" xfId="13655"/>
    <cellStyle name="Примечание 20 4 4" xfId="13656"/>
    <cellStyle name="Примечание 20 4 5" xfId="13657"/>
    <cellStyle name="Примечание 20 5" xfId="13658"/>
    <cellStyle name="Примечание 20 5 2" xfId="13659"/>
    <cellStyle name="Примечание 20 5 2 2" xfId="13660"/>
    <cellStyle name="Примечание 20 5 2 3" xfId="13661"/>
    <cellStyle name="Примечание 20 5 2 4" xfId="13662"/>
    <cellStyle name="Примечание 20 5 3" xfId="13663"/>
    <cellStyle name="Примечание 20 5 4" xfId="13664"/>
    <cellStyle name="Примечание 20 5 5" xfId="13665"/>
    <cellStyle name="Примечание 20 6" xfId="13666"/>
    <cellStyle name="Примечание 20 6 2" xfId="13667"/>
    <cellStyle name="Примечание 20 6 3" xfId="13668"/>
    <cellStyle name="Примечание 20 6 4" xfId="13669"/>
    <cellStyle name="Примечание 20 7" xfId="13670"/>
    <cellStyle name="Примечание 20 8" xfId="13671"/>
    <cellStyle name="Примечание 20 9" xfId="13672"/>
    <cellStyle name="Примечание 21" xfId="13673"/>
    <cellStyle name="Примечание 21 2" xfId="13674"/>
    <cellStyle name="Примечание 21 2 2" xfId="13675"/>
    <cellStyle name="Примечание 21 2 2 2" xfId="13676"/>
    <cellStyle name="Примечание 21 2 2 3" xfId="13677"/>
    <cellStyle name="Примечание 21 2 2 4" xfId="13678"/>
    <cellStyle name="Примечание 21 2 3" xfId="13679"/>
    <cellStyle name="Примечание 21 2 4" xfId="13680"/>
    <cellStyle name="Примечание 21 2 5" xfId="13681"/>
    <cellStyle name="Примечание 21 3" xfId="13682"/>
    <cellStyle name="Примечание 21 3 2" xfId="13683"/>
    <cellStyle name="Примечание 21 3 2 2" xfId="13684"/>
    <cellStyle name="Примечание 21 3 2 3" xfId="13685"/>
    <cellStyle name="Примечание 21 3 2 4" xfId="13686"/>
    <cellStyle name="Примечание 21 3 3" xfId="13687"/>
    <cellStyle name="Примечание 21 3 4" xfId="13688"/>
    <cellStyle name="Примечание 21 3 5" xfId="13689"/>
    <cellStyle name="Примечание 21 4" xfId="13690"/>
    <cellStyle name="Примечание 21 4 2" xfId="13691"/>
    <cellStyle name="Примечание 21 4 2 2" xfId="13692"/>
    <cellStyle name="Примечание 21 4 2 3" xfId="13693"/>
    <cellStyle name="Примечание 21 4 2 4" xfId="13694"/>
    <cellStyle name="Примечание 21 4 3" xfId="13695"/>
    <cellStyle name="Примечание 21 4 4" xfId="13696"/>
    <cellStyle name="Примечание 21 4 5" xfId="13697"/>
    <cellStyle name="Примечание 21 5" xfId="13698"/>
    <cellStyle name="Примечание 21 5 2" xfId="13699"/>
    <cellStyle name="Примечание 21 5 2 2" xfId="13700"/>
    <cellStyle name="Примечание 21 5 2 3" xfId="13701"/>
    <cellStyle name="Примечание 21 5 2 4" xfId="13702"/>
    <cellStyle name="Примечание 21 5 3" xfId="13703"/>
    <cellStyle name="Примечание 21 5 4" xfId="13704"/>
    <cellStyle name="Примечание 21 5 5" xfId="13705"/>
    <cellStyle name="Примечание 21 6" xfId="13706"/>
    <cellStyle name="Примечание 21 6 2" xfId="13707"/>
    <cellStyle name="Примечание 21 6 3" xfId="13708"/>
    <cellStyle name="Примечание 21 6 4" xfId="13709"/>
    <cellStyle name="Примечание 21 7" xfId="13710"/>
    <cellStyle name="Примечание 21 8" xfId="13711"/>
    <cellStyle name="Примечание 21 9" xfId="13712"/>
    <cellStyle name="Примечание 22" xfId="13713"/>
    <cellStyle name="Примечание 22 2" xfId="13714"/>
    <cellStyle name="Примечание 22 2 2" xfId="13715"/>
    <cellStyle name="Примечание 22 2 2 2" xfId="13716"/>
    <cellStyle name="Примечание 22 2 2 3" xfId="13717"/>
    <cellStyle name="Примечание 22 2 2 4" xfId="13718"/>
    <cellStyle name="Примечание 22 2 3" xfId="13719"/>
    <cellStyle name="Примечание 22 2 4" xfId="13720"/>
    <cellStyle name="Примечание 22 2 5" xfId="13721"/>
    <cellStyle name="Примечание 22 3" xfId="13722"/>
    <cellStyle name="Примечание 22 3 2" xfId="13723"/>
    <cellStyle name="Примечание 22 3 2 2" xfId="13724"/>
    <cellStyle name="Примечание 22 3 2 3" xfId="13725"/>
    <cellStyle name="Примечание 22 3 2 4" xfId="13726"/>
    <cellStyle name="Примечание 22 3 3" xfId="13727"/>
    <cellStyle name="Примечание 22 3 4" xfId="13728"/>
    <cellStyle name="Примечание 22 3 5" xfId="13729"/>
    <cellStyle name="Примечание 22 4" xfId="13730"/>
    <cellStyle name="Примечание 22 4 2" xfId="13731"/>
    <cellStyle name="Примечание 22 4 2 2" xfId="13732"/>
    <cellStyle name="Примечание 22 4 2 3" xfId="13733"/>
    <cellStyle name="Примечание 22 4 2 4" xfId="13734"/>
    <cellStyle name="Примечание 22 4 3" xfId="13735"/>
    <cellStyle name="Примечание 22 4 4" xfId="13736"/>
    <cellStyle name="Примечание 22 4 5" xfId="13737"/>
    <cellStyle name="Примечание 22 5" xfId="13738"/>
    <cellStyle name="Примечание 22 5 2" xfId="13739"/>
    <cellStyle name="Примечание 22 5 2 2" xfId="13740"/>
    <cellStyle name="Примечание 22 5 2 3" xfId="13741"/>
    <cellStyle name="Примечание 22 5 2 4" xfId="13742"/>
    <cellStyle name="Примечание 22 5 3" xfId="13743"/>
    <cellStyle name="Примечание 22 5 4" xfId="13744"/>
    <cellStyle name="Примечание 22 5 5" xfId="13745"/>
    <cellStyle name="Примечание 22 6" xfId="13746"/>
    <cellStyle name="Примечание 22 6 2" xfId="13747"/>
    <cellStyle name="Примечание 22 6 3" xfId="13748"/>
    <cellStyle name="Примечание 22 6 4" xfId="13749"/>
    <cellStyle name="Примечание 22 7" xfId="13750"/>
    <cellStyle name="Примечание 22 8" xfId="13751"/>
    <cellStyle name="Примечание 22 9" xfId="13752"/>
    <cellStyle name="Примечание 23" xfId="13753"/>
    <cellStyle name="Примечание 23 2" xfId="13754"/>
    <cellStyle name="Примечание 23 2 2" xfId="13755"/>
    <cellStyle name="Примечание 23 2 2 2" xfId="13756"/>
    <cellStyle name="Примечание 23 2 2 3" xfId="13757"/>
    <cellStyle name="Примечание 23 2 2 4" xfId="13758"/>
    <cellStyle name="Примечание 23 2 3" xfId="13759"/>
    <cellStyle name="Примечание 23 2 4" xfId="13760"/>
    <cellStyle name="Примечание 23 2 5" xfId="13761"/>
    <cellStyle name="Примечание 23 3" xfId="13762"/>
    <cellStyle name="Примечание 23 3 2" xfId="13763"/>
    <cellStyle name="Примечание 23 3 2 2" xfId="13764"/>
    <cellStyle name="Примечание 23 3 2 3" xfId="13765"/>
    <cellStyle name="Примечание 23 3 2 4" xfId="13766"/>
    <cellStyle name="Примечание 23 3 3" xfId="13767"/>
    <cellStyle name="Примечание 23 3 4" xfId="13768"/>
    <cellStyle name="Примечание 23 3 5" xfId="13769"/>
    <cellStyle name="Примечание 23 4" xfId="13770"/>
    <cellStyle name="Примечание 23 4 2" xfId="13771"/>
    <cellStyle name="Примечание 23 4 2 2" xfId="13772"/>
    <cellStyle name="Примечание 23 4 2 3" xfId="13773"/>
    <cellStyle name="Примечание 23 4 2 4" xfId="13774"/>
    <cellStyle name="Примечание 23 4 3" xfId="13775"/>
    <cellStyle name="Примечание 23 4 4" xfId="13776"/>
    <cellStyle name="Примечание 23 4 5" xfId="13777"/>
    <cellStyle name="Примечание 23 5" xfId="13778"/>
    <cellStyle name="Примечание 23 5 2" xfId="13779"/>
    <cellStyle name="Примечание 23 5 2 2" xfId="13780"/>
    <cellStyle name="Примечание 23 5 2 3" xfId="13781"/>
    <cellStyle name="Примечание 23 5 2 4" xfId="13782"/>
    <cellStyle name="Примечание 23 5 3" xfId="13783"/>
    <cellStyle name="Примечание 23 5 4" xfId="13784"/>
    <cellStyle name="Примечание 23 5 5" xfId="13785"/>
    <cellStyle name="Примечание 23 6" xfId="13786"/>
    <cellStyle name="Примечание 23 6 2" xfId="13787"/>
    <cellStyle name="Примечание 23 6 3" xfId="13788"/>
    <cellStyle name="Примечание 23 6 4" xfId="13789"/>
    <cellStyle name="Примечание 23 7" xfId="13790"/>
    <cellStyle name="Примечание 23 8" xfId="13791"/>
    <cellStyle name="Примечание 23 9" xfId="13792"/>
    <cellStyle name="Примечание 24" xfId="13793"/>
    <cellStyle name="Примечание 24 2" xfId="13794"/>
    <cellStyle name="Примечание 24 2 2" xfId="13795"/>
    <cellStyle name="Примечание 24 2 2 2" xfId="13796"/>
    <cellStyle name="Примечание 24 2 2 3" xfId="13797"/>
    <cellStyle name="Примечание 24 2 2 4" xfId="13798"/>
    <cellStyle name="Примечание 24 2 3" xfId="13799"/>
    <cellStyle name="Примечание 24 2 4" xfId="13800"/>
    <cellStyle name="Примечание 24 2 5" xfId="13801"/>
    <cellStyle name="Примечание 24 3" xfId="13802"/>
    <cellStyle name="Примечание 24 3 2" xfId="13803"/>
    <cellStyle name="Примечание 24 3 2 2" xfId="13804"/>
    <cellStyle name="Примечание 24 3 2 3" xfId="13805"/>
    <cellStyle name="Примечание 24 3 2 4" xfId="13806"/>
    <cellStyle name="Примечание 24 3 3" xfId="13807"/>
    <cellStyle name="Примечание 24 3 4" xfId="13808"/>
    <cellStyle name="Примечание 24 3 5" xfId="13809"/>
    <cellStyle name="Примечание 24 4" xfId="13810"/>
    <cellStyle name="Примечание 24 4 2" xfId="13811"/>
    <cellStyle name="Примечание 24 4 2 2" xfId="13812"/>
    <cellStyle name="Примечание 24 4 2 3" xfId="13813"/>
    <cellStyle name="Примечание 24 4 2 4" xfId="13814"/>
    <cellStyle name="Примечание 24 4 3" xfId="13815"/>
    <cellStyle name="Примечание 24 4 4" xfId="13816"/>
    <cellStyle name="Примечание 24 4 5" xfId="13817"/>
    <cellStyle name="Примечание 24 5" xfId="13818"/>
    <cellStyle name="Примечание 24 5 2" xfId="13819"/>
    <cellStyle name="Примечание 24 5 2 2" xfId="13820"/>
    <cellStyle name="Примечание 24 5 2 3" xfId="13821"/>
    <cellStyle name="Примечание 24 5 2 4" xfId="13822"/>
    <cellStyle name="Примечание 24 5 3" xfId="13823"/>
    <cellStyle name="Примечание 24 5 4" xfId="13824"/>
    <cellStyle name="Примечание 24 5 5" xfId="13825"/>
    <cellStyle name="Примечание 24 6" xfId="13826"/>
    <cellStyle name="Примечание 24 6 2" xfId="13827"/>
    <cellStyle name="Примечание 24 6 3" xfId="13828"/>
    <cellStyle name="Примечание 24 6 4" xfId="13829"/>
    <cellStyle name="Примечание 24 7" xfId="13830"/>
    <cellStyle name="Примечание 24 8" xfId="13831"/>
    <cellStyle name="Примечание 24 9" xfId="13832"/>
    <cellStyle name="Примечание 25" xfId="13833"/>
    <cellStyle name="Примечание 25 2" xfId="13834"/>
    <cellStyle name="Примечание 25 2 2" xfId="13835"/>
    <cellStyle name="Примечание 25 2 2 2" xfId="13836"/>
    <cellStyle name="Примечание 25 2 2 3" xfId="13837"/>
    <cellStyle name="Примечание 25 2 2 4" xfId="13838"/>
    <cellStyle name="Примечание 25 2 3" xfId="13839"/>
    <cellStyle name="Примечание 25 2 4" xfId="13840"/>
    <cellStyle name="Примечание 25 2 5" xfId="13841"/>
    <cellStyle name="Примечание 25 3" xfId="13842"/>
    <cellStyle name="Примечание 25 3 2" xfId="13843"/>
    <cellStyle name="Примечание 25 3 2 2" xfId="13844"/>
    <cellStyle name="Примечание 25 3 2 3" xfId="13845"/>
    <cellStyle name="Примечание 25 3 2 4" xfId="13846"/>
    <cellStyle name="Примечание 25 3 3" xfId="13847"/>
    <cellStyle name="Примечание 25 3 4" xfId="13848"/>
    <cellStyle name="Примечание 25 3 5" xfId="13849"/>
    <cellStyle name="Примечание 25 4" xfId="13850"/>
    <cellStyle name="Примечание 25 4 2" xfId="13851"/>
    <cellStyle name="Примечание 25 4 2 2" xfId="13852"/>
    <cellStyle name="Примечание 25 4 2 3" xfId="13853"/>
    <cellStyle name="Примечание 25 4 2 4" xfId="13854"/>
    <cellStyle name="Примечание 25 4 3" xfId="13855"/>
    <cellStyle name="Примечание 25 4 4" xfId="13856"/>
    <cellStyle name="Примечание 25 4 5" xfId="13857"/>
    <cellStyle name="Примечание 25 5" xfId="13858"/>
    <cellStyle name="Примечание 25 5 2" xfId="13859"/>
    <cellStyle name="Примечание 25 5 2 2" xfId="13860"/>
    <cellStyle name="Примечание 25 5 2 3" xfId="13861"/>
    <cellStyle name="Примечание 25 5 2 4" xfId="13862"/>
    <cellStyle name="Примечание 25 5 3" xfId="13863"/>
    <cellStyle name="Примечание 25 5 4" xfId="13864"/>
    <cellStyle name="Примечание 25 5 5" xfId="13865"/>
    <cellStyle name="Примечание 25 6" xfId="13866"/>
    <cellStyle name="Примечание 25 6 2" xfId="13867"/>
    <cellStyle name="Примечание 25 6 3" xfId="13868"/>
    <cellStyle name="Примечание 25 6 4" xfId="13869"/>
    <cellStyle name="Примечание 25 7" xfId="13870"/>
    <cellStyle name="Примечание 25 8" xfId="13871"/>
    <cellStyle name="Примечание 25 9" xfId="13872"/>
    <cellStyle name="Примечание 26" xfId="13873"/>
    <cellStyle name="Примечание 26 2" xfId="13874"/>
    <cellStyle name="Примечание 26 2 2" xfId="13875"/>
    <cellStyle name="Примечание 26 2 2 2" xfId="13876"/>
    <cellStyle name="Примечание 26 2 2 3" xfId="13877"/>
    <cellStyle name="Примечание 26 2 2 4" xfId="13878"/>
    <cellStyle name="Примечание 26 2 3" xfId="13879"/>
    <cellStyle name="Примечание 26 2 4" xfId="13880"/>
    <cellStyle name="Примечание 26 2 5" xfId="13881"/>
    <cellStyle name="Примечание 26 3" xfId="13882"/>
    <cellStyle name="Примечание 26 3 2" xfId="13883"/>
    <cellStyle name="Примечание 26 3 2 2" xfId="13884"/>
    <cellStyle name="Примечание 26 3 2 3" xfId="13885"/>
    <cellStyle name="Примечание 26 3 2 4" xfId="13886"/>
    <cellStyle name="Примечание 26 3 3" xfId="13887"/>
    <cellStyle name="Примечание 26 3 4" xfId="13888"/>
    <cellStyle name="Примечание 26 3 5" xfId="13889"/>
    <cellStyle name="Примечание 26 4" xfId="13890"/>
    <cellStyle name="Примечание 26 4 2" xfId="13891"/>
    <cellStyle name="Примечание 26 4 2 2" xfId="13892"/>
    <cellStyle name="Примечание 26 4 2 3" xfId="13893"/>
    <cellStyle name="Примечание 26 4 2 4" xfId="13894"/>
    <cellStyle name="Примечание 26 4 3" xfId="13895"/>
    <cellStyle name="Примечание 26 4 4" xfId="13896"/>
    <cellStyle name="Примечание 26 4 5" xfId="13897"/>
    <cellStyle name="Примечание 26 5" xfId="13898"/>
    <cellStyle name="Примечание 26 5 2" xfId="13899"/>
    <cellStyle name="Примечание 26 5 2 2" xfId="13900"/>
    <cellStyle name="Примечание 26 5 2 3" xfId="13901"/>
    <cellStyle name="Примечание 26 5 2 4" xfId="13902"/>
    <cellStyle name="Примечание 26 5 3" xfId="13903"/>
    <cellStyle name="Примечание 26 5 4" xfId="13904"/>
    <cellStyle name="Примечание 26 5 5" xfId="13905"/>
    <cellStyle name="Примечание 26 6" xfId="13906"/>
    <cellStyle name="Примечание 26 6 2" xfId="13907"/>
    <cellStyle name="Примечание 26 6 3" xfId="13908"/>
    <cellStyle name="Примечание 26 6 4" xfId="13909"/>
    <cellStyle name="Примечание 26 7" xfId="13910"/>
    <cellStyle name="Примечание 26 8" xfId="13911"/>
    <cellStyle name="Примечание 26 9" xfId="13912"/>
    <cellStyle name="Примечание 27" xfId="13913"/>
    <cellStyle name="Примечание 27 2" xfId="13914"/>
    <cellStyle name="Примечание 27 2 2" xfId="13915"/>
    <cellStyle name="Примечание 27 2 2 2" xfId="13916"/>
    <cellStyle name="Примечание 27 2 2 3" xfId="13917"/>
    <cellStyle name="Примечание 27 2 2 4" xfId="13918"/>
    <cellStyle name="Примечание 27 2 3" xfId="13919"/>
    <cellStyle name="Примечание 27 2 4" xfId="13920"/>
    <cellStyle name="Примечание 27 2 5" xfId="13921"/>
    <cellStyle name="Примечание 27 3" xfId="13922"/>
    <cellStyle name="Примечание 27 3 2" xfId="13923"/>
    <cellStyle name="Примечание 27 3 2 2" xfId="13924"/>
    <cellStyle name="Примечание 27 3 2 3" xfId="13925"/>
    <cellStyle name="Примечание 27 3 2 4" xfId="13926"/>
    <cellStyle name="Примечание 27 3 3" xfId="13927"/>
    <cellStyle name="Примечание 27 3 4" xfId="13928"/>
    <cellStyle name="Примечание 27 3 5" xfId="13929"/>
    <cellStyle name="Примечание 27 4" xfId="13930"/>
    <cellStyle name="Примечание 27 4 2" xfId="13931"/>
    <cellStyle name="Примечание 27 4 2 2" xfId="13932"/>
    <cellStyle name="Примечание 27 4 2 3" xfId="13933"/>
    <cellStyle name="Примечание 27 4 2 4" xfId="13934"/>
    <cellStyle name="Примечание 27 4 3" xfId="13935"/>
    <cellStyle name="Примечание 27 4 4" xfId="13936"/>
    <cellStyle name="Примечание 27 4 5" xfId="13937"/>
    <cellStyle name="Примечание 27 5" xfId="13938"/>
    <cellStyle name="Примечание 27 5 2" xfId="13939"/>
    <cellStyle name="Примечание 27 5 2 2" xfId="13940"/>
    <cellStyle name="Примечание 27 5 2 3" xfId="13941"/>
    <cellStyle name="Примечание 27 5 2 4" xfId="13942"/>
    <cellStyle name="Примечание 27 5 3" xfId="13943"/>
    <cellStyle name="Примечание 27 5 4" xfId="13944"/>
    <cellStyle name="Примечание 27 5 5" xfId="13945"/>
    <cellStyle name="Примечание 27 6" xfId="13946"/>
    <cellStyle name="Примечание 27 6 2" xfId="13947"/>
    <cellStyle name="Примечание 27 6 3" xfId="13948"/>
    <cellStyle name="Примечание 27 6 4" xfId="13949"/>
    <cellStyle name="Примечание 27 7" xfId="13950"/>
    <cellStyle name="Примечание 27 8" xfId="13951"/>
    <cellStyle name="Примечание 27 9" xfId="13952"/>
    <cellStyle name="Примечание 28" xfId="13953"/>
    <cellStyle name="Примечание 28 2" xfId="13954"/>
    <cellStyle name="Примечание 28 2 2" xfId="13955"/>
    <cellStyle name="Примечание 28 2 2 2" xfId="13956"/>
    <cellStyle name="Примечание 28 2 2 3" xfId="13957"/>
    <cellStyle name="Примечание 28 2 2 4" xfId="13958"/>
    <cellStyle name="Примечание 28 2 3" xfId="13959"/>
    <cellStyle name="Примечание 28 2 4" xfId="13960"/>
    <cellStyle name="Примечание 28 2 5" xfId="13961"/>
    <cellStyle name="Примечание 28 3" xfId="13962"/>
    <cellStyle name="Примечание 28 3 2" xfId="13963"/>
    <cellStyle name="Примечание 28 3 2 2" xfId="13964"/>
    <cellStyle name="Примечание 28 3 2 3" xfId="13965"/>
    <cellStyle name="Примечание 28 3 2 4" xfId="13966"/>
    <cellStyle name="Примечание 28 3 3" xfId="13967"/>
    <cellStyle name="Примечание 28 3 4" xfId="13968"/>
    <cellStyle name="Примечание 28 3 5" xfId="13969"/>
    <cellStyle name="Примечание 28 4" xfId="13970"/>
    <cellStyle name="Примечание 28 4 2" xfId="13971"/>
    <cellStyle name="Примечание 28 4 2 2" xfId="13972"/>
    <cellStyle name="Примечание 28 4 2 3" xfId="13973"/>
    <cellStyle name="Примечание 28 4 2 4" xfId="13974"/>
    <cellStyle name="Примечание 28 4 3" xfId="13975"/>
    <cellStyle name="Примечание 28 4 4" xfId="13976"/>
    <cellStyle name="Примечание 28 4 5" xfId="13977"/>
    <cellStyle name="Примечание 28 5" xfId="13978"/>
    <cellStyle name="Примечание 28 5 2" xfId="13979"/>
    <cellStyle name="Примечание 28 5 2 2" xfId="13980"/>
    <cellStyle name="Примечание 28 5 2 3" xfId="13981"/>
    <cellStyle name="Примечание 28 5 2 4" xfId="13982"/>
    <cellStyle name="Примечание 28 5 3" xfId="13983"/>
    <cellStyle name="Примечание 28 5 4" xfId="13984"/>
    <cellStyle name="Примечание 28 5 5" xfId="13985"/>
    <cellStyle name="Примечание 28 6" xfId="13986"/>
    <cellStyle name="Примечание 28 6 2" xfId="13987"/>
    <cellStyle name="Примечание 28 6 3" xfId="13988"/>
    <cellStyle name="Примечание 28 6 4" xfId="13989"/>
    <cellStyle name="Примечание 28 7" xfId="13990"/>
    <cellStyle name="Примечание 28 8" xfId="13991"/>
    <cellStyle name="Примечание 28 9" xfId="13992"/>
    <cellStyle name="Примечание 29" xfId="13993"/>
    <cellStyle name="Примечание 29 2" xfId="13994"/>
    <cellStyle name="Примечание 29 2 2" xfId="13995"/>
    <cellStyle name="Примечание 29 2 2 2" xfId="13996"/>
    <cellStyle name="Примечание 29 2 2 3" xfId="13997"/>
    <cellStyle name="Примечание 29 2 2 4" xfId="13998"/>
    <cellStyle name="Примечание 29 2 3" xfId="13999"/>
    <cellStyle name="Примечание 29 2 4" xfId="14000"/>
    <cellStyle name="Примечание 29 2 5" xfId="14001"/>
    <cellStyle name="Примечание 29 3" xfId="14002"/>
    <cellStyle name="Примечание 29 3 2" xfId="14003"/>
    <cellStyle name="Примечание 29 3 2 2" xfId="14004"/>
    <cellStyle name="Примечание 29 3 2 3" xfId="14005"/>
    <cellStyle name="Примечание 29 3 2 4" xfId="14006"/>
    <cellStyle name="Примечание 29 3 3" xfId="14007"/>
    <cellStyle name="Примечание 29 3 4" xfId="14008"/>
    <cellStyle name="Примечание 29 3 5" xfId="14009"/>
    <cellStyle name="Примечание 29 4" xfId="14010"/>
    <cellStyle name="Примечание 29 4 2" xfId="14011"/>
    <cellStyle name="Примечание 29 4 2 2" xfId="14012"/>
    <cellStyle name="Примечание 29 4 2 3" xfId="14013"/>
    <cellStyle name="Примечание 29 4 2 4" xfId="14014"/>
    <cellStyle name="Примечание 29 4 3" xfId="14015"/>
    <cellStyle name="Примечание 29 4 4" xfId="14016"/>
    <cellStyle name="Примечание 29 4 5" xfId="14017"/>
    <cellStyle name="Примечание 29 5" xfId="14018"/>
    <cellStyle name="Примечание 29 5 2" xfId="14019"/>
    <cellStyle name="Примечание 29 5 2 2" xfId="14020"/>
    <cellStyle name="Примечание 29 5 2 3" xfId="14021"/>
    <cellStyle name="Примечание 29 5 2 4" xfId="14022"/>
    <cellStyle name="Примечание 29 5 3" xfId="14023"/>
    <cellStyle name="Примечание 29 5 4" xfId="14024"/>
    <cellStyle name="Примечание 29 5 5" xfId="14025"/>
    <cellStyle name="Примечание 29 6" xfId="14026"/>
    <cellStyle name="Примечание 29 6 2" xfId="14027"/>
    <cellStyle name="Примечание 29 6 3" xfId="14028"/>
    <cellStyle name="Примечание 29 6 4" xfId="14029"/>
    <cellStyle name="Примечание 29 7" xfId="14030"/>
    <cellStyle name="Примечание 29 8" xfId="14031"/>
    <cellStyle name="Примечание 29 9" xfId="14032"/>
    <cellStyle name="Примечание 3" xfId="14033"/>
    <cellStyle name="Примечание 3 10" xfId="14034"/>
    <cellStyle name="Примечание 3 10 2" xfId="14035"/>
    <cellStyle name="Примечание 3 10 2 2" xfId="14036"/>
    <cellStyle name="Примечание 3 10 2 3" xfId="14037"/>
    <cellStyle name="Примечание 3 10 2 4" xfId="14038"/>
    <cellStyle name="Примечание 3 10 3" xfId="14039"/>
    <cellStyle name="Примечание 3 10 4" xfId="14040"/>
    <cellStyle name="Примечание 3 10 5" xfId="14041"/>
    <cellStyle name="Примечание 3 11" xfId="14042"/>
    <cellStyle name="Примечание 3 11 2" xfId="14043"/>
    <cellStyle name="Примечание 3 11 2 2" xfId="14044"/>
    <cellStyle name="Примечание 3 11 2 3" xfId="14045"/>
    <cellStyle name="Примечание 3 11 2 4" xfId="14046"/>
    <cellStyle name="Примечание 3 11 3" xfId="14047"/>
    <cellStyle name="Примечание 3 11 4" xfId="14048"/>
    <cellStyle name="Примечание 3 11 5" xfId="14049"/>
    <cellStyle name="Примечание 3 12" xfId="14050"/>
    <cellStyle name="Примечание 3 12 2" xfId="14051"/>
    <cellStyle name="Примечание 3 12 2 2" xfId="14052"/>
    <cellStyle name="Примечание 3 12 2 3" xfId="14053"/>
    <cellStyle name="Примечание 3 12 2 4" xfId="14054"/>
    <cellStyle name="Примечание 3 12 3" xfId="14055"/>
    <cellStyle name="Примечание 3 12 4" xfId="14056"/>
    <cellStyle name="Примечание 3 12 5" xfId="14057"/>
    <cellStyle name="Примечание 3 13" xfId="14058"/>
    <cellStyle name="Примечание 3 13 2" xfId="14059"/>
    <cellStyle name="Примечание 3 13 2 2" xfId="14060"/>
    <cellStyle name="Примечание 3 13 2 3" xfId="14061"/>
    <cellStyle name="Примечание 3 13 2 4" xfId="14062"/>
    <cellStyle name="Примечание 3 13 3" xfId="14063"/>
    <cellStyle name="Примечание 3 13 4" xfId="14064"/>
    <cellStyle name="Примечание 3 13 5" xfId="14065"/>
    <cellStyle name="Примечание 3 14" xfId="14066"/>
    <cellStyle name="Примечание 3 14 2" xfId="14067"/>
    <cellStyle name="Примечание 3 14 3" xfId="14068"/>
    <cellStyle name="Примечание 3 14 4" xfId="14069"/>
    <cellStyle name="Примечание 3 15" xfId="14070"/>
    <cellStyle name="Примечание 3 16" xfId="14071"/>
    <cellStyle name="Примечание 3 17" xfId="14072"/>
    <cellStyle name="Примечание 3 18" xfId="14073"/>
    <cellStyle name="Примечание 3 19" xfId="14074"/>
    <cellStyle name="Примечание 3 2" xfId="14075"/>
    <cellStyle name="Примечание 3 2 2" xfId="14076"/>
    <cellStyle name="Примечание 3 2 2 2" xfId="14077"/>
    <cellStyle name="Примечание 3 2 2 2 2" xfId="14078"/>
    <cellStyle name="Примечание 3 2 2 2 3" xfId="14079"/>
    <cellStyle name="Примечание 3 2 2 2 4" xfId="14080"/>
    <cellStyle name="Примечание 3 2 2 3" xfId="14081"/>
    <cellStyle name="Примечание 3 2 2 4" xfId="14082"/>
    <cellStyle name="Примечание 3 2 2 5" xfId="14083"/>
    <cellStyle name="Примечание 3 2 3" xfId="14084"/>
    <cellStyle name="Примечание 3 2 3 2" xfId="14085"/>
    <cellStyle name="Примечание 3 2 3 2 2" xfId="14086"/>
    <cellStyle name="Примечание 3 2 3 2 3" xfId="14087"/>
    <cellStyle name="Примечание 3 2 3 2 4" xfId="14088"/>
    <cellStyle name="Примечание 3 2 3 3" xfId="14089"/>
    <cellStyle name="Примечание 3 2 3 4" xfId="14090"/>
    <cellStyle name="Примечание 3 2 3 5" xfId="14091"/>
    <cellStyle name="Примечание 3 2 4" xfId="14092"/>
    <cellStyle name="Примечание 3 2 4 2" xfId="14093"/>
    <cellStyle name="Примечание 3 2 4 2 2" xfId="14094"/>
    <cellStyle name="Примечание 3 2 4 2 3" xfId="14095"/>
    <cellStyle name="Примечание 3 2 4 2 4" xfId="14096"/>
    <cellStyle name="Примечание 3 2 4 3" xfId="14097"/>
    <cellStyle name="Примечание 3 2 4 4" xfId="14098"/>
    <cellStyle name="Примечание 3 2 4 5" xfId="14099"/>
    <cellStyle name="Примечание 3 2 5" xfId="14100"/>
    <cellStyle name="Примечание 3 2 5 2" xfId="14101"/>
    <cellStyle name="Примечание 3 2 5 2 2" xfId="14102"/>
    <cellStyle name="Примечание 3 2 5 2 3" xfId="14103"/>
    <cellStyle name="Примечание 3 2 5 2 4" xfId="14104"/>
    <cellStyle name="Примечание 3 2 5 3" xfId="14105"/>
    <cellStyle name="Примечание 3 2 5 4" xfId="14106"/>
    <cellStyle name="Примечание 3 2 5 5" xfId="14107"/>
    <cellStyle name="Примечание 3 2 6" xfId="14108"/>
    <cellStyle name="Примечание 3 2 6 2" xfId="14109"/>
    <cellStyle name="Примечание 3 2 6 3" xfId="14110"/>
    <cellStyle name="Примечание 3 2 6 4" xfId="14111"/>
    <cellStyle name="Примечание 3 2 7" xfId="14112"/>
    <cellStyle name="Примечание 3 2 8" xfId="14113"/>
    <cellStyle name="Примечание 3 2 9" xfId="14114"/>
    <cellStyle name="Примечание 3 20" xfId="14115"/>
    <cellStyle name="Примечание 3 21" xfId="14116"/>
    <cellStyle name="Примечание 3 22" xfId="14117"/>
    <cellStyle name="Примечание 3 23" xfId="14118"/>
    <cellStyle name="Примечание 3 24" xfId="14119"/>
    <cellStyle name="Примечание 3 25" xfId="14120"/>
    <cellStyle name="Примечание 3 26" xfId="14121"/>
    <cellStyle name="Примечание 3 27" xfId="14122"/>
    <cellStyle name="Примечание 3 28" xfId="14123"/>
    <cellStyle name="Примечание 3 29" xfId="14124"/>
    <cellStyle name="Примечание 3 3" xfId="14125"/>
    <cellStyle name="Примечание 3 3 2" xfId="14126"/>
    <cellStyle name="Примечание 3 3 2 2" xfId="14127"/>
    <cellStyle name="Примечание 3 3 2 2 2" xfId="14128"/>
    <cellStyle name="Примечание 3 3 2 2 3" xfId="14129"/>
    <cellStyle name="Примечание 3 3 2 2 4" xfId="14130"/>
    <cellStyle name="Примечание 3 3 2 3" xfId="14131"/>
    <cellStyle name="Примечание 3 3 2 4" xfId="14132"/>
    <cellStyle name="Примечание 3 3 2 5" xfId="14133"/>
    <cellStyle name="Примечание 3 3 3" xfId="14134"/>
    <cellStyle name="Примечание 3 3 3 2" xfId="14135"/>
    <cellStyle name="Примечание 3 3 3 2 2" xfId="14136"/>
    <cellStyle name="Примечание 3 3 3 2 3" xfId="14137"/>
    <cellStyle name="Примечание 3 3 3 2 4" xfId="14138"/>
    <cellStyle name="Примечание 3 3 3 3" xfId="14139"/>
    <cellStyle name="Примечание 3 3 3 4" xfId="14140"/>
    <cellStyle name="Примечание 3 3 3 5" xfId="14141"/>
    <cellStyle name="Примечание 3 3 4" xfId="14142"/>
    <cellStyle name="Примечание 3 3 4 2" xfId="14143"/>
    <cellStyle name="Примечание 3 3 4 2 2" xfId="14144"/>
    <cellStyle name="Примечание 3 3 4 2 3" xfId="14145"/>
    <cellStyle name="Примечание 3 3 4 2 4" xfId="14146"/>
    <cellStyle name="Примечание 3 3 4 3" xfId="14147"/>
    <cellStyle name="Примечание 3 3 4 4" xfId="14148"/>
    <cellStyle name="Примечание 3 3 4 5" xfId="14149"/>
    <cellStyle name="Примечание 3 3 5" xfId="14150"/>
    <cellStyle name="Примечание 3 3 5 2" xfId="14151"/>
    <cellStyle name="Примечание 3 3 5 2 2" xfId="14152"/>
    <cellStyle name="Примечание 3 3 5 2 3" xfId="14153"/>
    <cellStyle name="Примечание 3 3 5 2 4" xfId="14154"/>
    <cellStyle name="Примечание 3 3 5 3" xfId="14155"/>
    <cellStyle name="Примечание 3 3 5 4" xfId="14156"/>
    <cellStyle name="Примечание 3 3 5 5" xfId="14157"/>
    <cellStyle name="Примечание 3 3 6" xfId="14158"/>
    <cellStyle name="Примечание 3 3 6 2" xfId="14159"/>
    <cellStyle name="Примечание 3 3 6 3" xfId="14160"/>
    <cellStyle name="Примечание 3 3 6 4" xfId="14161"/>
    <cellStyle name="Примечание 3 3 7" xfId="14162"/>
    <cellStyle name="Примечание 3 3 8" xfId="14163"/>
    <cellStyle name="Примечание 3 3 9" xfId="14164"/>
    <cellStyle name="Примечание 3 30" xfId="14165"/>
    <cellStyle name="Примечание 3 31" xfId="14166"/>
    <cellStyle name="Примечание 3 32" xfId="14167"/>
    <cellStyle name="Примечание 3 33" xfId="14168"/>
    <cellStyle name="Примечание 3 34" xfId="14169"/>
    <cellStyle name="Примечание 3 35" xfId="14170"/>
    <cellStyle name="Примечание 3 36" xfId="14171"/>
    <cellStyle name="Примечание 3 37" xfId="14172"/>
    <cellStyle name="Примечание 3 38" xfId="14173"/>
    <cellStyle name="Примечание 3 39" xfId="14174"/>
    <cellStyle name="Примечание 3 4" xfId="14175"/>
    <cellStyle name="Примечание 3 4 2" xfId="14176"/>
    <cellStyle name="Примечание 3 4 2 2" xfId="14177"/>
    <cellStyle name="Примечание 3 4 2 2 2" xfId="14178"/>
    <cellStyle name="Примечание 3 4 2 2 3" xfId="14179"/>
    <cellStyle name="Примечание 3 4 2 2 4" xfId="14180"/>
    <cellStyle name="Примечание 3 4 2 3" xfId="14181"/>
    <cellStyle name="Примечание 3 4 2 4" xfId="14182"/>
    <cellStyle name="Примечание 3 4 2 5" xfId="14183"/>
    <cellStyle name="Примечание 3 4 3" xfId="14184"/>
    <cellStyle name="Примечание 3 4 3 2" xfId="14185"/>
    <cellStyle name="Примечание 3 4 3 2 2" xfId="14186"/>
    <cellStyle name="Примечание 3 4 3 2 3" xfId="14187"/>
    <cellStyle name="Примечание 3 4 3 2 4" xfId="14188"/>
    <cellStyle name="Примечание 3 4 3 3" xfId="14189"/>
    <cellStyle name="Примечание 3 4 3 4" xfId="14190"/>
    <cellStyle name="Примечание 3 4 3 5" xfId="14191"/>
    <cellStyle name="Примечание 3 4 4" xfId="14192"/>
    <cellStyle name="Примечание 3 4 4 2" xfId="14193"/>
    <cellStyle name="Примечание 3 4 4 2 2" xfId="14194"/>
    <cellStyle name="Примечание 3 4 4 2 3" xfId="14195"/>
    <cellStyle name="Примечание 3 4 4 2 4" xfId="14196"/>
    <cellStyle name="Примечание 3 4 4 3" xfId="14197"/>
    <cellStyle name="Примечание 3 4 4 4" xfId="14198"/>
    <cellStyle name="Примечание 3 4 4 5" xfId="14199"/>
    <cellStyle name="Примечание 3 4 5" xfId="14200"/>
    <cellStyle name="Примечание 3 4 5 2" xfId="14201"/>
    <cellStyle name="Примечание 3 4 5 2 2" xfId="14202"/>
    <cellStyle name="Примечание 3 4 5 2 3" xfId="14203"/>
    <cellStyle name="Примечание 3 4 5 2 4" xfId="14204"/>
    <cellStyle name="Примечание 3 4 5 3" xfId="14205"/>
    <cellStyle name="Примечание 3 4 5 4" xfId="14206"/>
    <cellStyle name="Примечание 3 4 5 5" xfId="14207"/>
    <cellStyle name="Примечание 3 4 6" xfId="14208"/>
    <cellStyle name="Примечание 3 4 6 2" xfId="14209"/>
    <cellStyle name="Примечание 3 4 6 3" xfId="14210"/>
    <cellStyle name="Примечание 3 4 6 4" xfId="14211"/>
    <cellStyle name="Примечание 3 4 7" xfId="14212"/>
    <cellStyle name="Примечание 3 4 8" xfId="14213"/>
    <cellStyle name="Примечание 3 4 9" xfId="14214"/>
    <cellStyle name="Примечание 3 40" xfId="14215"/>
    <cellStyle name="Примечание 3 41" xfId="14216"/>
    <cellStyle name="Примечание 3 42" xfId="14217"/>
    <cellStyle name="Примечание 3 43" xfId="14218"/>
    <cellStyle name="Примечание 3 44" xfId="14219"/>
    <cellStyle name="Примечание 3 5" xfId="14220"/>
    <cellStyle name="Примечание 3 5 2" xfId="14221"/>
    <cellStyle name="Примечание 3 5 2 2" xfId="14222"/>
    <cellStyle name="Примечание 3 5 2 2 2" xfId="14223"/>
    <cellStyle name="Примечание 3 5 2 2 3" xfId="14224"/>
    <cellStyle name="Примечание 3 5 2 2 4" xfId="14225"/>
    <cellStyle name="Примечание 3 5 2 3" xfId="14226"/>
    <cellStyle name="Примечание 3 5 2 4" xfId="14227"/>
    <cellStyle name="Примечание 3 5 2 5" xfId="14228"/>
    <cellStyle name="Примечание 3 5 3" xfId="14229"/>
    <cellStyle name="Примечание 3 5 3 2" xfId="14230"/>
    <cellStyle name="Примечание 3 5 3 2 2" xfId="14231"/>
    <cellStyle name="Примечание 3 5 3 2 3" xfId="14232"/>
    <cellStyle name="Примечание 3 5 3 2 4" xfId="14233"/>
    <cellStyle name="Примечание 3 5 3 3" xfId="14234"/>
    <cellStyle name="Примечание 3 5 3 4" xfId="14235"/>
    <cellStyle name="Примечание 3 5 3 5" xfId="14236"/>
    <cellStyle name="Примечание 3 5 4" xfId="14237"/>
    <cellStyle name="Примечание 3 5 4 2" xfId="14238"/>
    <cellStyle name="Примечание 3 5 4 2 2" xfId="14239"/>
    <cellStyle name="Примечание 3 5 4 2 3" xfId="14240"/>
    <cellStyle name="Примечание 3 5 4 2 4" xfId="14241"/>
    <cellStyle name="Примечание 3 5 4 3" xfId="14242"/>
    <cellStyle name="Примечание 3 5 4 4" xfId="14243"/>
    <cellStyle name="Примечание 3 5 4 5" xfId="14244"/>
    <cellStyle name="Примечание 3 5 5" xfId="14245"/>
    <cellStyle name="Примечание 3 5 5 2" xfId="14246"/>
    <cellStyle name="Примечание 3 5 5 2 2" xfId="14247"/>
    <cellStyle name="Примечание 3 5 5 2 3" xfId="14248"/>
    <cellStyle name="Примечание 3 5 5 2 4" xfId="14249"/>
    <cellStyle name="Примечание 3 5 5 3" xfId="14250"/>
    <cellStyle name="Примечание 3 5 5 4" xfId="14251"/>
    <cellStyle name="Примечание 3 5 5 5" xfId="14252"/>
    <cellStyle name="Примечание 3 5 6" xfId="14253"/>
    <cellStyle name="Примечание 3 5 6 2" xfId="14254"/>
    <cellStyle name="Примечание 3 5 6 3" xfId="14255"/>
    <cellStyle name="Примечание 3 5 6 4" xfId="14256"/>
    <cellStyle name="Примечание 3 5 7" xfId="14257"/>
    <cellStyle name="Примечание 3 5 8" xfId="14258"/>
    <cellStyle name="Примечание 3 5 9" xfId="14259"/>
    <cellStyle name="Примечание 3 6" xfId="14260"/>
    <cellStyle name="Примечание 3 6 2" xfId="14261"/>
    <cellStyle name="Примечание 3 6 2 2" xfId="14262"/>
    <cellStyle name="Примечание 3 6 2 2 2" xfId="14263"/>
    <cellStyle name="Примечание 3 6 2 2 3" xfId="14264"/>
    <cellStyle name="Примечание 3 6 2 2 4" xfId="14265"/>
    <cellStyle name="Примечание 3 6 2 3" xfId="14266"/>
    <cellStyle name="Примечание 3 6 2 4" xfId="14267"/>
    <cellStyle name="Примечание 3 6 2 5" xfId="14268"/>
    <cellStyle name="Примечание 3 6 3" xfId="14269"/>
    <cellStyle name="Примечание 3 6 3 2" xfId="14270"/>
    <cellStyle name="Примечание 3 6 3 2 2" xfId="14271"/>
    <cellStyle name="Примечание 3 6 3 2 3" xfId="14272"/>
    <cellStyle name="Примечание 3 6 3 2 4" xfId="14273"/>
    <cellStyle name="Примечание 3 6 3 3" xfId="14274"/>
    <cellStyle name="Примечание 3 6 3 4" xfId="14275"/>
    <cellStyle name="Примечание 3 6 3 5" xfId="14276"/>
    <cellStyle name="Примечание 3 6 4" xfId="14277"/>
    <cellStyle name="Примечание 3 6 4 2" xfId="14278"/>
    <cellStyle name="Примечание 3 6 4 2 2" xfId="14279"/>
    <cellStyle name="Примечание 3 6 4 2 3" xfId="14280"/>
    <cellStyle name="Примечание 3 6 4 2 4" xfId="14281"/>
    <cellStyle name="Примечание 3 6 4 3" xfId="14282"/>
    <cellStyle name="Примечание 3 6 4 4" xfId="14283"/>
    <cellStyle name="Примечание 3 6 4 5" xfId="14284"/>
    <cellStyle name="Примечание 3 6 5" xfId="14285"/>
    <cellStyle name="Примечание 3 6 5 2" xfId="14286"/>
    <cellStyle name="Примечание 3 6 5 2 2" xfId="14287"/>
    <cellStyle name="Примечание 3 6 5 2 3" xfId="14288"/>
    <cellStyle name="Примечание 3 6 5 2 4" xfId="14289"/>
    <cellStyle name="Примечание 3 6 5 3" xfId="14290"/>
    <cellStyle name="Примечание 3 6 5 4" xfId="14291"/>
    <cellStyle name="Примечание 3 6 5 5" xfId="14292"/>
    <cellStyle name="Примечание 3 6 6" xfId="14293"/>
    <cellStyle name="Примечание 3 6 6 2" xfId="14294"/>
    <cellStyle name="Примечание 3 6 6 3" xfId="14295"/>
    <cellStyle name="Примечание 3 6 6 4" xfId="14296"/>
    <cellStyle name="Примечание 3 6 7" xfId="14297"/>
    <cellStyle name="Примечание 3 6 8" xfId="14298"/>
    <cellStyle name="Примечание 3 6 9" xfId="14299"/>
    <cellStyle name="Примечание 3 7" xfId="14300"/>
    <cellStyle name="Примечание 3 7 2" xfId="14301"/>
    <cellStyle name="Примечание 3 7 2 2" xfId="14302"/>
    <cellStyle name="Примечание 3 7 2 2 2" xfId="14303"/>
    <cellStyle name="Примечание 3 7 2 2 3" xfId="14304"/>
    <cellStyle name="Примечание 3 7 2 2 4" xfId="14305"/>
    <cellStyle name="Примечание 3 7 2 3" xfId="14306"/>
    <cellStyle name="Примечание 3 7 2 4" xfId="14307"/>
    <cellStyle name="Примечание 3 7 2 5" xfId="14308"/>
    <cellStyle name="Примечание 3 7 3" xfId="14309"/>
    <cellStyle name="Примечание 3 7 3 2" xfId="14310"/>
    <cellStyle name="Примечание 3 7 3 2 2" xfId="14311"/>
    <cellStyle name="Примечание 3 7 3 2 3" xfId="14312"/>
    <cellStyle name="Примечание 3 7 3 2 4" xfId="14313"/>
    <cellStyle name="Примечание 3 7 3 3" xfId="14314"/>
    <cellStyle name="Примечание 3 7 3 4" xfId="14315"/>
    <cellStyle name="Примечание 3 7 3 5" xfId="14316"/>
    <cellStyle name="Примечание 3 7 4" xfId="14317"/>
    <cellStyle name="Примечание 3 7 4 2" xfId="14318"/>
    <cellStyle name="Примечание 3 7 4 2 2" xfId="14319"/>
    <cellStyle name="Примечание 3 7 4 2 3" xfId="14320"/>
    <cellStyle name="Примечание 3 7 4 2 4" xfId="14321"/>
    <cellStyle name="Примечание 3 7 4 3" xfId="14322"/>
    <cellStyle name="Примечание 3 7 4 4" xfId="14323"/>
    <cellStyle name="Примечание 3 7 4 5" xfId="14324"/>
    <cellStyle name="Примечание 3 7 5" xfId="14325"/>
    <cellStyle name="Примечание 3 7 5 2" xfId="14326"/>
    <cellStyle name="Примечание 3 7 5 2 2" xfId="14327"/>
    <cellStyle name="Примечание 3 7 5 2 3" xfId="14328"/>
    <cellStyle name="Примечание 3 7 5 2 4" xfId="14329"/>
    <cellStyle name="Примечание 3 7 5 3" xfId="14330"/>
    <cellStyle name="Примечание 3 7 5 4" xfId="14331"/>
    <cellStyle name="Примечание 3 7 5 5" xfId="14332"/>
    <cellStyle name="Примечание 3 7 6" xfId="14333"/>
    <cellStyle name="Примечание 3 7 6 2" xfId="14334"/>
    <cellStyle name="Примечание 3 7 6 3" xfId="14335"/>
    <cellStyle name="Примечание 3 7 6 4" xfId="14336"/>
    <cellStyle name="Примечание 3 7 7" xfId="14337"/>
    <cellStyle name="Примечание 3 7 8" xfId="14338"/>
    <cellStyle name="Примечание 3 7 9" xfId="14339"/>
    <cellStyle name="Примечание 3 8" xfId="14340"/>
    <cellStyle name="Примечание 3 8 2" xfId="14341"/>
    <cellStyle name="Примечание 3 8 2 2" xfId="14342"/>
    <cellStyle name="Примечание 3 8 2 2 2" xfId="14343"/>
    <cellStyle name="Примечание 3 8 2 2 3" xfId="14344"/>
    <cellStyle name="Примечание 3 8 2 2 4" xfId="14345"/>
    <cellStyle name="Примечание 3 8 2 3" xfId="14346"/>
    <cellStyle name="Примечание 3 8 2 4" xfId="14347"/>
    <cellStyle name="Примечание 3 8 2 5" xfId="14348"/>
    <cellStyle name="Примечание 3 8 3" xfId="14349"/>
    <cellStyle name="Примечание 3 8 3 2" xfId="14350"/>
    <cellStyle name="Примечание 3 8 3 2 2" xfId="14351"/>
    <cellStyle name="Примечание 3 8 3 2 3" xfId="14352"/>
    <cellStyle name="Примечание 3 8 3 2 4" xfId="14353"/>
    <cellStyle name="Примечание 3 8 3 3" xfId="14354"/>
    <cellStyle name="Примечание 3 8 3 4" xfId="14355"/>
    <cellStyle name="Примечание 3 8 3 5" xfId="14356"/>
    <cellStyle name="Примечание 3 8 4" xfId="14357"/>
    <cellStyle name="Примечание 3 8 4 2" xfId="14358"/>
    <cellStyle name="Примечание 3 8 4 2 2" xfId="14359"/>
    <cellStyle name="Примечание 3 8 4 2 3" xfId="14360"/>
    <cellStyle name="Примечание 3 8 4 2 4" xfId="14361"/>
    <cellStyle name="Примечание 3 8 4 3" xfId="14362"/>
    <cellStyle name="Примечание 3 8 4 4" xfId="14363"/>
    <cellStyle name="Примечание 3 8 4 5" xfId="14364"/>
    <cellStyle name="Примечание 3 8 5" xfId="14365"/>
    <cellStyle name="Примечание 3 8 5 2" xfId="14366"/>
    <cellStyle name="Примечание 3 8 5 2 2" xfId="14367"/>
    <cellStyle name="Примечание 3 8 5 2 3" xfId="14368"/>
    <cellStyle name="Примечание 3 8 5 2 4" xfId="14369"/>
    <cellStyle name="Примечание 3 8 5 3" xfId="14370"/>
    <cellStyle name="Примечание 3 8 5 4" xfId="14371"/>
    <cellStyle name="Примечание 3 8 5 5" xfId="14372"/>
    <cellStyle name="Примечание 3 8 6" xfId="14373"/>
    <cellStyle name="Примечание 3 8 6 2" xfId="14374"/>
    <cellStyle name="Примечание 3 8 6 3" xfId="14375"/>
    <cellStyle name="Примечание 3 8 6 4" xfId="14376"/>
    <cellStyle name="Примечание 3 8 7" xfId="14377"/>
    <cellStyle name="Примечание 3 8 8" xfId="14378"/>
    <cellStyle name="Примечание 3 8 9" xfId="14379"/>
    <cellStyle name="Примечание 3 9" xfId="14380"/>
    <cellStyle name="Примечание 3 9 2" xfId="14381"/>
    <cellStyle name="Примечание 3 9 2 2" xfId="14382"/>
    <cellStyle name="Примечание 3 9 2 2 2" xfId="14383"/>
    <cellStyle name="Примечание 3 9 2 2 3" xfId="14384"/>
    <cellStyle name="Примечание 3 9 2 2 4" xfId="14385"/>
    <cellStyle name="Примечание 3 9 2 3" xfId="14386"/>
    <cellStyle name="Примечание 3 9 2 4" xfId="14387"/>
    <cellStyle name="Примечание 3 9 2 5" xfId="14388"/>
    <cellStyle name="Примечание 3 9 3" xfId="14389"/>
    <cellStyle name="Примечание 3 9 3 2" xfId="14390"/>
    <cellStyle name="Примечание 3 9 3 2 2" xfId="14391"/>
    <cellStyle name="Примечание 3 9 3 2 3" xfId="14392"/>
    <cellStyle name="Примечание 3 9 3 2 4" xfId="14393"/>
    <cellStyle name="Примечание 3 9 3 3" xfId="14394"/>
    <cellStyle name="Примечание 3 9 3 4" xfId="14395"/>
    <cellStyle name="Примечание 3 9 3 5" xfId="14396"/>
    <cellStyle name="Примечание 3 9 4" xfId="14397"/>
    <cellStyle name="Примечание 3 9 4 2" xfId="14398"/>
    <cellStyle name="Примечание 3 9 4 2 2" xfId="14399"/>
    <cellStyle name="Примечание 3 9 4 2 3" xfId="14400"/>
    <cellStyle name="Примечание 3 9 4 2 4" xfId="14401"/>
    <cellStyle name="Примечание 3 9 4 3" xfId="14402"/>
    <cellStyle name="Примечание 3 9 4 4" xfId="14403"/>
    <cellStyle name="Примечание 3 9 4 5" xfId="14404"/>
    <cellStyle name="Примечание 3 9 5" xfId="14405"/>
    <cellStyle name="Примечание 3 9 5 2" xfId="14406"/>
    <cellStyle name="Примечание 3 9 5 2 2" xfId="14407"/>
    <cellStyle name="Примечание 3 9 5 2 3" xfId="14408"/>
    <cellStyle name="Примечание 3 9 5 2 4" xfId="14409"/>
    <cellStyle name="Примечание 3 9 5 3" xfId="14410"/>
    <cellStyle name="Примечание 3 9 5 4" xfId="14411"/>
    <cellStyle name="Примечание 3 9 5 5" xfId="14412"/>
    <cellStyle name="Примечание 3 9 6" xfId="14413"/>
    <cellStyle name="Примечание 3 9 6 2" xfId="14414"/>
    <cellStyle name="Примечание 3 9 6 3" xfId="14415"/>
    <cellStyle name="Примечание 3 9 6 4" xfId="14416"/>
    <cellStyle name="Примечание 3 9 7" xfId="14417"/>
    <cellStyle name="Примечание 3 9 8" xfId="14418"/>
    <cellStyle name="Примечание 3 9 9" xfId="14419"/>
    <cellStyle name="Примечание 3_46EE.2011(v1.0)" xfId="14420"/>
    <cellStyle name="Примечание 30" xfId="14421"/>
    <cellStyle name="Примечание 30 2" xfId="14422"/>
    <cellStyle name="Примечание 30 2 2" xfId="14423"/>
    <cellStyle name="Примечание 30 2 2 2" xfId="14424"/>
    <cellStyle name="Примечание 30 2 2 3" xfId="14425"/>
    <cellStyle name="Примечание 30 2 2 4" xfId="14426"/>
    <cellStyle name="Примечание 30 2 3" xfId="14427"/>
    <cellStyle name="Примечание 30 2 4" xfId="14428"/>
    <cellStyle name="Примечание 30 2 5" xfId="14429"/>
    <cellStyle name="Примечание 30 3" xfId="14430"/>
    <cellStyle name="Примечание 30 3 2" xfId="14431"/>
    <cellStyle name="Примечание 30 3 2 2" xfId="14432"/>
    <cellStyle name="Примечание 30 3 2 3" xfId="14433"/>
    <cellStyle name="Примечание 30 3 2 4" xfId="14434"/>
    <cellStyle name="Примечание 30 3 3" xfId="14435"/>
    <cellStyle name="Примечание 30 3 4" xfId="14436"/>
    <cellStyle name="Примечание 30 3 5" xfId="14437"/>
    <cellStyle name="Примечание 30 4" xfId="14438"/>
    <cellStyle name="Примечание 30 4 2" xfId="14439"/>
    <cellStyle name="Примечание 30 4 2 2" xfId="14440"/>
    <cellStyle name="Примечание 30 4 2 3" xfId="14441"/>
    <cellStyle name="Примечание 30 4 2 4" xfId="14442"/>
    <cellStyle name="Примечание 30 4 3" xfId="14443"/>
    <cellStyle name="Примечание 30 4 4" xfId="14444"/>
    <cellStyle name="Примечание 30 4 5" xfId="14445"/>
    <cellStyle name="Примечание 30 5" xfId="14446"/>
    <cellStyle name="Примечание 30 5 2" xfId="14447"/>
    <cellStyle name="Примечание 30 5 2 2" xfId="14448"/>
    <cellStyle name="Примечание 30 5 2 3" xfId="14449"/>
    <cellStyle name="Примечание 30 5 2 4" xfId="14450"/>
    <cellStyle name="Примечание 30 5 3" xfId="14451"/>
    <cellStyle name="Примечание 30 5 4" xfId="14452"/>
    <cellStyle name="Примечание 30 5 5" xfId="14453"/>
    <cellStyle name="Примечание 30 6" xfId="14454"/>
    <cellStyle name="Примечание 30 6 2" xfId="14455"/>
    <cellStyle name="Примечание 30 6 3" xfId="14456"/>
    <cellStyle name="Примечание 30 6 4" xfId="14457"/>
    <cellStyle name="Примечание 30 7" xfId="14458"/>
    <cellStyle name="Примечание 30 8" xfId="14459"/>
    <cellStyle name="Примечание 30 9" xfId="14460"/>
    <cellStyle name="Примечание 31" xfId="14461"/>
    <cellStyle name="Примечание 31 2" xfId="14462"/>
    <cellStyle name="Примечание 31 2 2" xfId="14463"/>
    <cellStyle name="Примечание 31 2 2 2" xfId="14464"/>
    <cellStyle name="Примечание 31 2 2 3" xfId="14465"/>
    <cellStyle name="Примечание 31 2 2 4" xfId="14466"/>
    <cellStyle name="Примечание 31 2 3" xfId="14467"/>
    <cellStyle name="Примечание 31 2 4" xfId="14468"/>
    <cellStyle name="Примечание 31 2 5" xfId="14469"/>
    <cellStyle name="Примечание 31 3" xfId="14470"/>
    <cellStyle name="Примечание 31 3 2" xfId="14471"/>
    <cellStyle name="Примечание 31 3 2 2" xfId="14472"/>
    <cellStyle name="Примечание 31 3 2 3" xfId="14473"/>
    <cellStyle name="Примечание 31 3 2 4" xfId="14474"/>
    <cellStyle name="Примечание 31 3 3" xfId="14475"/>
    <cellStyle name="Примечание 31 3 4" xfId="14476"/>
    <cellStyle name="Примечание 31 3 5" xfId="14477"/>
    <cellStyle name="Примечание 31 4" xfId="14478"/>
    <cellStyle name="Примечание 31 4 2" xfId="14479"/>
    <cellStyle name="Примечание 31 4 2 2" xfId="14480"/>
    <cellStyle name="Примечание 31 4 2 3" xfId="14481"/>
    <cellStyle name="Примечание 31 4 2 4" xfId="14482"/>
    <cellStyle name="Примечание 31 4 3" xfId="14483"/>
    <cellStyle name="Примечание 31 4 4" xfId="14484"/>
    <cellStyle name="Примечание 31 4 5" xfId="14485"/>
    <cellStyle name="Примечание 31 5" xfId="14486"/>
    <cellStyle name="Примечание 31 5 2" xfId="14487"/>
    <cellStyle name="Примечание 31 5 2 2" xfId="14488"/>
    <cellStyle name="Примечание 31 5 2 3" xfId="14489"/>
    <cellStyle name="Примечание 31 5 2 4" xfId="14490"/>
    <cellStyle name="Примечание 31 5 3" xfId="14491"/>
    <cellStyle name="Примечание 31 5 4" xfId="14492"/>
    <cellStyle name="Примечание 31 5 5" xfId="14493"/>
    <cellStyle name="Примечание 31 6" xfId="14494"/>
    <cellStyle name="Примечание 31 6 2" xfId="14495"/>
    <cellStyle name="Примечание 31 6 3" xfId="14496"/>
    <cellStyle name="Примечание 31 6 4" xfId="14497"/>
    <cellStyle name="Примечание 31 7" xfId="14498"/>
    <cellStyle name="Примечание 31 8" xfId="14499"/>
    <cellStyle name="Примечание 31 9" xfId="14500"/>
    <cellStyle name="Примечание 32" xfId="14501"/>
    <cellStyle name="Примечание 32 2" xfId="14502"/>
    <cellStyle name="Примечание 32 2 2" xfId="14503"/>
    <cellStyle name="Примечание 32 2 2 2" xfId="14504"/>
    <cellStyle name="Примечание 32 2 2 3" xfId="14505"/>
    <cellStyle name="Примечание 32 2 2 4" xfId="14506"/>
    <cellStyle name="Примечание 32 2 3" xfId="14507"/>
    <cellStyle name="Примечание 32 2 4" xfId="14508"/>
    <cellStyle name="Примечание 32 2 5" xfId="14509"/>
    <cellStyle name="Примечание 32 3" xfId="14510"/>
    <cellStyle name="Примечание 32 3 2" xfId="14511"/>
    <cellStyle name="Примечание 32 3 2 2" xfId="14512"/>
    <cellStyle name="Примечание 32 3 2 3" xfId="14513"/>
    <cellStyle name="Примечание 32 3 2 4" xfId="14514"/>
    <cellStyle name="Примечание 32 3 3" xfId="14515"/>
    <cellStyle name="Примечание 32 3 4" xfId="14516"/>
    <cellStyle name="Примечание 32 3 5" xfId="14517"/>
    <cellStyle name="Примечание 32 4" xfId="14518"/>
    <cellStyle name="Примечание 32 4 2" xfId="14519"/>
    <cellStyle name="Примечание 32 4 2 2" xfId="14520"/>
    <cellStyle name="Примечание 32 4 2 3" xfId="14521"/>
    <cellStyle name="Примечание 32 4 2 4" xfId="14522"/>
    <cellStyle name="Примечание 32 4 3" xfId="14523"/>
    <cellStyle name="Примечание 32 4 4" xfId="14524"/>
    <cellStyle name="Примечание 32 4 5" xfId="14525"/>
    <cellStyle name="Примечание 32 5" xfId="14526"/>
    <cellStyle name="Примечание 32 5 2" xfId="14527"/>
    <cellStyle name="Примечание 32 5 2 2" xfId="14528"/>
    <cellStyle name="Примечание 32 5 2 3" xfId="14529"/>
    <cellStyle name="Примечание 32 5 2 4" xfId="14530"/>
    <cellStyle name="Примечание 32 5 3" xfId="14531"/>
    <cellStyle name="Примечание 32 5 4" xfId="14532"/>
    <cellStyle name="Примечание 32 5 5" xfId="14533"/>
    <cellStyle name="Примечание 32 6" xfId="14534"/>
    <cellStyle name="Примечание 32 6 2" xfId="14535"/>
    <cellStyle name="Примечание 32 6 3" xfId="14536"/>
    <cellStyle name="Примечание 32 6 4" xfId="14537"/>
    <cellStyle name="Примечание 32 7" xfId="14538"/>
    <cellStyle name="Примечание 32 8" xfId="14539"/>
    <cellStyle name="Примечание 32 9" xfId="14540"/>
    <cellStyle name="Примечание 33" xfId="14541"/>
    <cellStyle name="Примечание 33 2" xfId="14542"/>
    <cellStyle name="Примечание 33 2 2" xfId="14543"/>
    <cellStyle name="Примечание 33 2 2 2" xfId="14544"/>
    <cellStyle name="Примечание 33 2 2 3" xfId="14545"/>
    <cellStyle name="Примечание 33 2 2 4" xfId="14546"/>
    <cellStyle name="Примечание 33 2 3" xfId="14547"/>
    <cellStyle name="Примечание 33 2 4" xfId="14548"/>
    <cellStyle name="Примечание 33 2 5" xfId="14549"/>
    <cellStyle name="Примечание 33 3" xfId="14550"/>
    <cellStyle name="Примечание 33 3 2" xfId="14551"/>
    <cellStyle name="Примечание 33 3 2 2" xfId="14552"/>
    <cellStyle name="Примечание 33 3 2 3" xfId="14553"/>
    <cellStyle name="Примечание 33 3 2 4" xfId="14554"/>
    <cellStyle name="Примечание 33 3 3" xfId="14555"/>
    <cellStyle name="Примечание 33 3 4" xfId="14556"/>
    <cellStyle name="Примечание 33 3 5" xfId="14557"/>
    <cellStyle name="Примечание 33 4" xfId="14558"/>
    <cellStyle name="Примечание 33 4 2" xfId="14559"/>
    <cellStyle name="Примечание 33 4 2 2" xfId="14560"/>
    <cellStyle name="Примечание 33 4 2 3" xfId="14561"/>
    <cellStyle name="Примечание 33 4 2 4" xfId="14562"/>
    <cellStyle name="Примечание 33 4 3" xfId="14563"/>
    <cellStyle name="Примечание 33 4 4" xfId="14564"/>
    <cellStyle name="Примечание 33 4 5" xfId="14565"/>
    <cellStyle name="Примечание 33 5" xfId="14566"/>
    <cellStyle name="Примечание 33 5 2" xfId="14567"/>
    <cellStyle name="Примечание 33 5 2 2" xfId="14568"/>
    <cellStyle name="Примечание 33 5 2 3" xfId="14569"/>
    <cellStyle name="Примечание 33 5 2 4" xfId="14570"/>
    <cellStyle name="Примечание 33 5 3" xfId="14571"/>
    <cellStyle name="Примечание 33 5 4" xfId="14572"/>
    <cellStyle name="Примечание 33 5 5" xfId="14573"/>
    <cellStyle name="Примечание 33 6" xfId="14574"/>
    <cellStyle name="Примечание 33 6 2" xfId="14575"/>
    <cellStyle name="Примечание 33 6 3" xfId="14576"/>
    <cellStyle name="Примечание 33 6 4" xfId="14577"/>
    <cellStyle name="Примечание 33 7" xfId="14578"/>
    <cellStyle name="Примечание 33 8" xfId="14579"/>
    <cellStyle name="Примечание 33 9" xfId="14580"/>
    <cellStyle name="Примечание 34" xfId="14581"/>
    <cellStyle name="Примечание 34 2" xfId="14582"/>
    <cellStyle name="Примечание 34 2 2" xfId="14583"/>
    <cellStyle name="Примечание 34 2 2 2" xfId="14584"/>
    <cellStyle name="Примечание 34 2 2 3" xfId="14585"/>
    <cellStyle name="Примечание 34 2 2 4" xfId="14586"/>
    <cellStyle name="Примечание 34 2 3" xfId="14587"/>
    <cellStyle name="Примечание 34 2 4" xfId="14588"/>
    <cellStyle name="Примечание 34 2 5" xfId="14589"/>
    <cellStyle name="Примечание 34 3" xfId="14590"/>
    <cellStyle name="Примечание 34 3 2" xfId="14591"/>
    <cellStyle name="Примечание 34 3 2 2" xfId="14592"/>
    <cellStyle name="Примечание 34 3 2 3" xfId="14593"/>
    <cellStyle name="Примечание 34 3 2 4" xfId="14594"/>
    <cellStyle name="Примечание 34 3 3" xfId="14595"/>
    <cellStyle name="Примечание 34 3 4" xfId="14596"/>
    <cellStyle name="Примечание 34 3 5" xfId="14597"/>
    <cellStyle name="Примечание 34 4" xfId="14598"/>
    <cellStyle name="Примечание 34 4 2" xfId="14599"/>
    <cellStyle name="Примечание 34 4 2 2" xfId="14600"/>
    <cellStyle name="Примечание 34 4 2 3" xfId="14601"/>
    <cellStyle name="Примечание 34 4 2 4" xfId="14602"/>
    <cellStyle name="Примечание 34 4 3" xfId="14603"/>
    <cellStyle name="Примечание 34 4 4" xfId="14604"/>
    <cellStyle name="Примечание 34 4 5" xfId="14605"/>
    <cellStyle name="Примечание 34 5" xfId="14606"/>
    <cellStyle name="Примечание 34 5 2" xfId="14607"/>
    <cellStyle name="Примечание 34 5 2 2" xfId="14608"/>
    <cellStyle name="Примечание 34 5 2 3" xfId="14609"/>
    <cellStyle name="Примечание 34 5 2 4" xfId="14610"/>
    <cellStyle name="Примечание 34 5 3" xfId="14611"/>
    <cellStyle name="Примечание 34 5 4" xfId="14612"/>
    <cellStyle name="Примечание 34 5 5" xfId="14613"/>
    <cellStyle name="Примечание 34 6" xfId="14614"/>
    <cellStyle name="Примечание 34 6 2" xfId="14615"/>
    <cellStyle name="Примечание 34 6 3" xfId="14616"/>
    <cellStyle name="Примечание 34 6 4" xfId="14617"/>
    <cellStyle name="Примечание 34 7" xfId="14618"/>
    <cellStyle name="Примечание 34 8" xfId="14619"/>
    <cellStyle name="Примечание 34 9" xfId="14620"/>
    <cellStyle name="Примечание 35" xfId="14621"/>
    <cellStyle name="Примечание 35 2" xfId="14622"/>
    <cellStyle name="Примечание 35 2 2" xfId="14623"/>
    <cellStyle name="Примечание 35 2 2 2" xfId="14624"/>
    <cellStyle name="Примечание 35 2 2 3" xfId="14625"/>
    <cellStyle name="Примечание 35 2 2 4" xfId="14626"/>
    <cellStyle name="Примечание 35 2 3" xfId="14627"/>
    <cellStyle name="Примечание 35 2 4" xfId="14628"/>
    <cellStyle name="Примечание 35 2 5" xfId="14629"/>
    <cellStyle name="Примечание 35 3" xfId="14630"/>
    <cellStyle name="Примечание 35 3 2" xfId="14631"/>
    <cellStyle name="Примечание 35 3 2 2" xfId="14632"/>
    <cellStyle name="Примечание 35 3 2 3" xfId="14633"/>
    <cellStyle name="Примечание 35 3 2 4" xfId="14634"/>
    <cellStyle name="Примечание 35 3 3" xfId="14635"/>
    <cellStyle name="Примечание 35 3 4" xfId="14636"/>
    <cellStyle name="Примечание 35 3 5" xfId="14637"/>
    <cellStyle name="Примечание 35 4" xfId="14638"/>
    <cellStyle name="Примечание 35 4 2" xfId="14639"/>
    <cellStyle name="Примечание 35 4 2 2" xfId="14640"/>
    <cellStyle name="Примечание 35 4 2 3" xfId="14641"/>
    <cellStyle name="Примечание 35 4 2 4" xfId="14642"/>
    <cellStyle name="Примечание 35 4 3" xfId="14643"/>
    <cellStyle name="Примечание 35 4 4" xfId="14644"/>
    <cellStyle name="Примечание 35 4 5" xfId="14645"/>
    <cellStyle name="Примечание 35 5" xfId="14646"/>
    <cellStyle name="Примечание 35 5 2" xfId="14647"/>
    <cellStyle name="Примечание 35 5 2 2" xfId="14648"/>
    <cellStyle name="Примечание 35 5 2 3" xfId="14649"/>
    <cellStyle name="Примечание 35 5 2 4" xfId="14650"/>
    <cellStyle name="Примечание 35 5 3" xfId="14651"/>
    <cellStyle name="Примечание 35 5 4" xfId="14652"/>
    <cellStyle name="Примечание 35 5 5" xfId="14653"/>
    <cellStyle name="Примечание 35 6" xfId="14654"/>
    <cellStyle name="Примечание 35 6 2" xfId="14655"/>
    <cellStyle name="Примечание 35 6 3" xfId="14656"/>
    <cellStyle name="Примечание 35 6 4" xfId="14657"/>
    <cellStyle name="Примечание 35 7" xfId="14658"/>
    <cellStyle name="Примечание 35 8" xfId="14659"/>
    <cellStyle name="Примечание 35 9" xfId="14660"/>
    <cellStyle name="Примечание 36" xfId="14661"/>
    <cellStyle name="Примечание 36 2" xfId="14662"/>
    <cellStyle name="Примечание 36 2 2" xfId="14663"/>
    <cellStyle name="Примечание 36 2 2 2" xfId="14664"/>
    <cellStyle name="Примечание 36 2 2 3" xfId="14665"/>
    <cellStyle name="Примечание 36 2 2 4" xfId="14666"/>
    <cellStyle name="Примечание 36 2 3" xfId="14667"/>
    <cellStyle name="Примечание 36 2 4" xfId="14668"/>
    <cellStyle name="Примечание 36 2 5" xfId="14669"/>
    <cellStyle name="Примечание 36 3" xfId="14670"/>
    <cellStyle name="Примечание 36 3 2" xfId="14671"/>
    <cellStyle name="Примечание 36 3 2 2" xfId="14672"/>
    <cellStyle name="Примечание 36 3 2 3" xfId="14673"/>
    <cellStyle name="Примечание 36 3 2 4" xfId="14674"/>
    <cellStyle name="Примечание 36 3 3" xfId="14675"/>
    <cellStyle name="Примечание 36 3 4" xfId="14676"/>
    <cellStyle name="Примечание 36 3 5" xfId="14677"/>
    <cellStyle name="Примечание 36 4" xfId="14678"/>
    <cellStyle name="Примечание 36 4 2" xfId="14679"/>
    <cellStyle name="Примечание 36 4 2 2" xfId="14680"/>
    <cellStyle name="Примечание 36 4 2 3" xfId="14681"/>
    <cellStyle name="Примечание 36 4 2 4" xfId="14682"/>
    <cellStyle name="Примечание 36 4 3" xfId="14683"/>
    <cellStyle name="Примечание 36 4 4" xfId="14684"/>
    <cellStyle name="Примечание 36 4 5" xfId="14685"/>
    <cellStyle name="Примечание 36 5" xfId="14686"/>
    <cellStyle name="Примечание 36 5 2" xfId="14687"/>
    <cellStyle name="Примечание 36 5 2 2" xfId="14688"/>
    <cellStyle name="Примечание 36 5 2 3" xfId="14689"/>
    <cellStyle name="Примечание 36 5 2 4" xfId="14690"/>
    <cellStyle name="Примечание 36 5 3" xfId="14691"/>
    <cellStyle name="Примечание 36 5 4" xfId="14692"/>
    <cellStyle name="Примечание 36 5 5" xfId="14693"/>
    <cellStyle name="Примечание 36 6" xfId="14694"/>
    <cellStyle name="Примечание 36 6 2" xfId="14695"/>
    <cellStyle name="Примечание 36 6 3" xfId="14696"/>
    <cellStyle name="Примечание 36 6 4" xfId="14697"/>
    <cellStyle name="Примечание 36 7" xfId="14698"/>
    <cellStyle name="Примечание 36 8" xfId="14699"/>
    <cellStyle name="Примечание 36 9" xfId="14700"/>
    <cellStyle name="Примечание 37" xfId="14701"/>
    <cellStyle name="Примечание 37 2" xfId="14702"/>
    <cellStyle name="Примечание 37 2 2" xfId="14703"/>
    <cellStyle name="Примечание 37 2 2 2" xfId="14704"/>
    <cellStyle name="Примечание 37 2 2 3" xfId="14705"/>
    <cellStyle name="Примечание 37 2 2 4" xfId="14706"/>
    <cellStyle name="Примечание 37 2 3" xfId="14707"/>
    <cellStyle name="Примечание 37 2 4" xfId="14708"/>
    <cellStyle name="Примечание 37 2 5" xfId="14709"/>
    <cellStyle name="Примечание 37 3" xfId="14710"/>
    <cellStyle name="Примечание 37 3 2" xfId="14711"/>
    <cellStyle name="Примечание 37 3 2 2" xfId="14712"/>
    <cellStyle name="Примечание 37 3 2 3" xfId="14713"/>
    <cellStyle name="Примечание 37 3 2 4" xfId="14714"/>
    <cellStyle name="Примечание 37 3 3" xfId="14715"/>
    <cellStyle name="Примечание 37 3 4" xfId="14716"/>
    <cellStyle name="Примечание 37 3 5" xfId="14717"/>
    <cellStyle name="Примечание 37 4" xfId="14718"/>
    <cellStyle name="Примечание 37 4 2" xfId="14719"/>
    <cellStyle name="Примечание 37 4 2 2" xfId="14720"/>
    <cellStyle name="Примечание 37 4 2 3" xfId="14721"/>
    <cellStyle name="Примечание 37 4 2 4" xfId="14722"/>
    <cellStyle name="Примечание 37 4 3" xfId="14723"/>
    <cellStyle name="Примечание 37 4 4" xfId="14724"/>
    <cellStyle name="Примечание 37 4 5" xfId="14725"/>
    <cellStyle name="Примечание 37 5" xfId="14726"/>
    <cellStyle name="Примечание 37 5 2" xfId="14727"/>
    <cellStyle name="Примечание 37 5 2 2" xfId="14728"/>
    <cellStyle name="Примечание 37 5 2 3" xfId="14729"/>
    <cellStyle name="Примечание 37 5 2 4" xfId="14730"/>
    <cellStyle name="Примечание 37 5 3" xfId="14731"/>
    <cellStyle name="Примечание 37 5 4" xfId="14732"/>
    <cellStyle name="Примечание 37 5 5" xfId="14733"/>
    <cellStyle name="Примечание 37 6" xfId="14734"/>
    <cellStyle name="Примечание 37 6 2" xfId="14735"/>
    <cellStyle name="Примечание 37 6 3" xfId="14736"/>
    <cellStyle name="Примечание 37 6 4" xfId="14737"/>
    <cellStyle name="Примечание 37 7" xfId="14738"/>
    <cellStyle name="Примечание 37 8" xfId="14739"/>
    <cellStyle name="Примечание 37 9" xfId="14740"/>
    <cellStyle name="Примечание 38" xfId="14741"/>
    <cellStyle name="Примечание 38 2" xfId="14742"/>
    <cellStyle name="Примечание 38 3" xfId="14743"/>
    <cellStyle name="Примечание 39" xfId="14744"/>
    <cellStyle name="Примечание 39 2" xfId="14745"/>
    <cellStyle name="Примечание 39 3" xfId="14746"/>
    <cellStyle name="Примечание 4" xfId="14747"/>
    <cellStyle name="Примечание 4 10" xfId="14748"/>
    <cellStyle name="Примечание 4 10 2" xfId="14749"/>
    <cellStyle name="Примечание 4 10 2 2" xfId="14750"/>
    <cellStyle name="Примечание 4 10 2 3" xfId="14751"/>
    <cellStyle name="Примечание 4 10 2 4" xfId="14752"/>
    <cellStyle name="Примечание 4 10 3" xfId="14753"/>
    <cellStyle name="Примечание 4 10 4" xfId="14754"/>
    <cellStyle name="Примечание 4 10 5" xfId="14755"/>
    <cellStyle name="Примечание 4 11" xfId="14756"/>
    <cellStyle name="Примечание 4 11 2" xfId="14757"/>
    <cellStyle name="Примечание 4 11 2 2" xfId="14758"/>
    <cellStyle name="Примечание 4 11 2 3" xfId="14759"/>
    <cellStyle name="Примечание 4 11 2 4" xfId="14760"/>
    <cellStyle name="Примечание 4 11 3" xfId="14761"/>
    <cellStyle name="Примечание 4 11 4" xfId="14762"/>
    <cellStyle name="Примечание 4 11 5" xfId="14763"/>
    <cellStyle name="Примечание 4 12" xfId="14764"/>
    <cellStyle name="Примечание 4 12 2" xfId="14765"/>
    <cellStyle name="Примечание 4 12 2 2" xfId="14766"/>
    <cellStyle name="Примечание 4 12 2 3" xfId="14767"/>
    <cellStyle name="Примечание 4 12 2 4" xfId="14768"/>
    <cellStyle name="Примечание 4 12 3" xfId="14769"/>
    <cellStyle name="Примечание 4 12 4" xfId="14770"/>
    <cellStyle name="Примечание 4 12 5" xfId="14771"/>
    <cellStyle name="Примечание 4 13" xfId="14772"/>
    <cellStyle name="Примечание 4 13 2" xfId="14773"/>
    <cellStyle name="Примечание 4 13 2 2" xfId="14774"/>
    <cellStyle name="Примечание 4 13 2 3" xfId="14775"/>
    <cellStyle name="Примечание 4 13 2 4" xfId="14776"/>
    <cellStyle name="Примечание 4 13 3" xfId="14777"/>
    <cellStyle name="Примечание 4 13 4" xfId="14778"/>
    <cellStyle name="Примечание 4 13 5" xfId="14779"/>
    <cellStyle name="Примечание 4 14" xfId="14780"/>
    <cellStyle name="Примечание 4 14 2" xfId="14781"/>
    <cellStyle name="Примечание 4 14 3" xfId="14782"/>
    <cellStyle name="Примечание 4 14 4" xfId="14783"/>
    <cellStyle name="Примечание 4 15" xfId="14784"/>
    <cellStyle name="Примечание 4 16" xfId="14785"/>
    <cellStyle name="Примечание 4 17" xfId="14786"/>
    <cellStyle name="Примечание 4 18" xfId="14787"/>
    <cellStyle name="Примечание 4 19" xfId="14788"/>
    <cellStyle name="Примечание 4 2" xfId="14789"/>
    <cellStyle name="Примечание 4 2 2" xfId="14790"/>
    <cellStyle name="Примечание 4 2 2 2" xfId="14791"/>
    <cellStyle name="Примечание 4 2 2 2 2" xfId="14792"/>
    <cellStyle name="Примечание 4 2 2 2 3" xfId="14793"/>
    <cellStyle name="Примечание 4 2 2 2 4" xfId="14794"/>
    <cellStyle name="Примечание 4 2 2 3" xfId="14795"/>
    <cellStyle name="Примечание 4 2 2 4" xfId="14796"/>
    <cellStyle name="Примечание 4 2 2 5" xfId="14797"/>
    <cellStyle name="Примечание 4 2 3" xfId="14798"/>
    <cellStyle name="Примечание 4 2 3 2" xfId="14799"/>
    <cellStyle name="Примечание 4 2 3 2 2" xfId="14800"/>
    <cellStyle name="Примечание 4 2 3 2 3" xfId="14801"/>
    <cellStyle name="Примечание 4 2 3 2 4" xfId="14802"/>
    <cellStyle name="Примечание 4 2 3 3" xfId="14803"/>
    <cellStyle name="Примечание 4 2 3 4" xfId="14804"/>
    <cellStyle name="Примечание 4 2 3 5" xfId="14805"/>
    <cellStyle name="Примечание 4 2 4" xfId="14806"/>
    <cellStyle name="Примечание 4 2 4 2" xfId="14807"/>
    <cellStyle name="Примечание 4 2 4 2 2" xfId="14808"/>
    <cellStyle name="Примечание 4 2 4 2 3" xfId="14809"/>
    <cellStyle name="Примечание 4 2 4 2 4" xfId="14810"/>
    <cellStyle name="Примечание 4 2 4 3" xfId="14811"/>
    <cellStyle name="Примечание 4 2 4 4" xfId="14812"/>
    <cellStyle name="Примечание 4 2 4 5" xfId="14813"/>
    <cellStyle name="Примечание 4 2 5" xfId="14814"/>
    <cellStyle name="Примечание 4 2 5 2" xfId="14815"/>
    <cellStyle name="Примечание 4 2 5 2 2" xfId="14816"/>
    <cellStyle name="Примечание 4 2 5 2 3" xfId="14817"/>
    <cellStyle name="Примечание 4 2 5 2 4" xfId="14818"/>
    <cellStyle name="Примечание 4 2 5 3" xfId="14819"/>
    <cellStyle name="Примечание 4 2 5 4" xfId="14820"/>
    <cellStyle name="Примечание 4 2 5 5" xfId="14821"/>
    <cellStyle name="Примечание 4 2 6" xfId="14822"/>
    <cellStyle name="Примечание 4 2 6 2" xfId="14823"/>
    <cellStyle name="Примечание 4 2 6 3" xfId="14824"/>
    <cellStyle name="Примечание 4 2 6 4" xfId="14825"/>
    <cellStyle name="Примечание 4 2 7" xfId="14826"/>
    <cellStyle name="Примечание 4 2 8" xfId="14827"/>
    <cellStyle name="Примечание 4 2 9" xfId="14828"/>
    <cellStyle name="Примечание 4 20" xfId="14829"/>
    <cellStyle name="Примечание 4 21" xfId="14830"/>
    <cellStyle name="Примечание 4 22" xfId="14831"/>
    <cellStyle name="Примечание 4 23" xfId="14832"/>
    <cellStyle name="Примечание 4 24" xfId="14833"/>
    <cellStyle name="Примечание 4 25" xfId="14834"/>
    <cellStyle name="Примечание 4 26" xfId="14835"/>
    <cellStyle name="Примечание 4 27" xfId="14836"/>
    <cellStyle name="Примечание 4 28" xfId="14837"/>
    <cellStyle name="Примечание 4 29" xfId="14838"/>
    <cellStyle name="Примечание 4 3" xfId="14839"/>
    <cellStyle name="Примечание 4 3 2" xfId="14840"/>
    <cellStyle name="Примечание 4 3 2 2" xfId="14841"/>
    <cellStyle name="Примечание 4 3 2 2 2" xfId="14842"/>
    <cellStyle name="Примечание 4 3 2 2 3" xfId="14843"/>
    <cellStyle name="Примечание 4 3 2 2 4" xfId="14844"/>
    <cellStyle name="Примечание 4 3 2 3" xfId="14845"/>
    <cellStyle name="Примечание 4 3 2 4" xfId="14846"/>
    <cellStyle name="Примечание 4 3 2 5" xfId="14847"/>
    <cellStyle name="Примечание 4 3 3" xfId="14848"/>
    <cellStyle name="Примечание 4 3 3 2" xfId="14849"/>
    <cellStyle name="Примечание 4 3 3 2 2" xfId="14850"/>
    <cellStyle name="Примечание 4 3 3 2 3" xfId="14851"/>
    <cellStyle name="Примечание 4 3 3 2 4" xfId="14852"/>
    <cellStyle name="Примечание 4 3 3 3" xfId="14853"/>
    <cellStyle name="Примечание 4 3 3 4" xfId="14854"/>
    <cellStyle name="Примечание 4 3 3 5" xfId="14855"/>
    <cellStyle name="Примечание 4 3 4" xfId="14856"/>
    <cellStyle name="Примечание 4 3 4 2" xfId="14857"/>
    <cellStyle name="Примечание 4 3 4 2 2" xfId="14858"/>
    <cellStyle name="Примечание 4 3 4 2 3" xfId="14859"/>
    <cellStyle name="Примечание 4 3 4 2 4" xfId="14860"/>
    <cellStyle name="Примечание 4 3 4 3" xfId="14861"/>
    <cellStyle name="Примечание 4 3 4 4" xfId="14862"/>
    <cellStyle name="Примечание 4 3 4 5" xfId="14863"/>
    <cellStyle name="Примечание 4 3 5" xfId="14864"/>
    <cellStyle name="Примечание 4 3 5 2" xfId="14865"/>
    <cellStyle name="Примечание 4 3 5 2 2" xfId="14866"/>
    <cellStyle name="Примечание 4 3 5 2 3" xfId="14867"/>
    <cellStyle name="Примечание 4 3 5 2 4" xfId="14868"/>
    <cellStyle name="Примечание 4 3 5 3" xfId="14869"/>
    <cellStyle name="Примечание 4 3 5 4" xfId="14870"/>
    <cellStyle name="Примечание 4 3 5 5" xfId="14871"/>
    <cellStyle name="Примечание 4 3 6" xfId="14872"/>
    <cellStyle name="Примечание 4 3 6 2" xfId="14873"/>
    <cellStyle name="Примечание 4 3 6 3" xfId="14874"/>
    <cellStyle name="Примечание 4 3 6 4" xfId="14875"/>
    <cellStyle name="Примечание 4 3 7" xfId="14876"/>
    <cellStyle name="Примечание 4 3 8" xfId="14877"/>
    <cellStyle name="Примечание 4 3 9" xfId="14878"/>
    <cellStyle name="Примечание 4 30" xfId="14879"/>
    <cellStyle name="Примечание 4 31" xfId="14880"/>
    <cellStyle name="Примечание 4 32" xfId="14881"/>
    <cellStyle name="Примечание 4 33" xfId="14882"/>
    <cellStyle name="Примечание 4 34" xfId="14883"/>
    <cellStyle name="Примечание 4 35" xfId="14884"/>
    <cellStyle name="Примечание 4 36" xfId="14885"/>
    <cellStyle name="Примечание 4 37" xfId="14886"/>
    <cellStyle name="Примечание 4 38" xfId="14887"/>
    <cellStyle name="Примечание 4 39" xfId="14888"/>
    <cellStyle name="Примечание 4 4" xfId="14889"/>
    <cellStyle name="Примечание 4 4 2" xfId="14890"/>
    <cellStyle name="Примечание 4 4 2 2" xfId="14891"/>
    <cellStyle name="Примечание 4 4 2 2 2" xfId="14892"/>
    <cellStyle name="Примечание 4 4 2 2 3" xfId="14893"/>
    <cellStyle name="Примечание 4 4 2 2 4" xfId="14894"/>
    <cellStyle name="Примечание 4 4 2 3" xfId="14895"/>
    <cellStyle name="Примечание 4 4 2 4" xfId="14896"/>
    <cellStyle name="Примечание 4 4 2 5" xfId="14897"/>
    <cellStyle name="Примечание 4 4 3" xfId="14898"/>
    <cellStyle name="Примечание 4 4 3 2" xfId="14899"/>
    <cellStyle name="Примечание 4 4 3 2 2" xfId="14900"/>
    <cellStyle name="Примечание 4 4 3 2 3" xfId="14901"/>
    <cellStyle name="Примечание 4 4 3 2 4" xfId="14902"/>
    <cellStyle name="Примечание 4 4 3 3" xfId="14903"/>
    <cellStyle name="Примечание 4 4 3 4" xfId="14904"/>
    <cellStyle name="Примечание 4 4 3 5" xfId="14905"/>
    <cellStyle name="Примечание 4 4 4" xfId="14906"/>
    <cellStyle name="Примечание 4 4 4 2" xfId="14907"/>
    <cellStyle name="Примечание 4 4 4 2 2" xfId="14908"/>
    <cellStyle name="Примечание 4 4 4 2 3" xfId="14909"/>
    <cellStyle name="Примечание 4 4 4 2 4" xfId="14910"/>
    <cellStyle name="Примечание 4 4 4 3" xfId="14911"/>
    <cellStyle name="Примечание 4 4 4 4" xfId="14912"/>
    <cellStyle name="Примечание 4 4 4 5" xfId="14913"/>
    <cellStyle name="Примечание 4 4 5" xfId="14914"/>
    <cellStyle name="Примечание 4 4 5 2" xfId="14915"/>
    <cellStyle name="Примечание 4 4 5 2 2" xfId="14916"/>
    <cellStyle name="Примечание 4 4 5 2 3" xfId="14917"/>
    <cellStyle name="Примечание 4 4 5 2 4" xfId="14918"/>
    <cellStyle name="Примечание 4 4 5 3" xfId="14919"/>
    <cellStyle name="Примечание 4 4 5 4" xfId="14920"/>
    <cellStyle name="Примечание 4 4 5 5" xfId="14921"/>
    <cellStyle name="Примечание 4 4 6" xfId="14922"/>
    <cellStyle name="Примечание 4 4 6 2" xfId="14923"/>
    <cellStyle name="Примечание 4 4 6 3" xfId="14924"/>
    <cellStyle name="Примечание 4 4 6 4" xfId="14925"/>
    <cellStyle name="Примечание 4 4 7" xfId="14926"/>
    <cellStyle name="Примечание 4 4 8" xfId="14927"/>
    <cellStyle name="Примечание 4 4 9" xfId="14928"/>
    <cellStyle name="Примечание 4 40" xfId="14929"/>
    <cellStyle name="Примечание 4 41" xfId="14930"/>
    <cellStyle name="Примечание 4 42" xfId="14931"/>
    <cellStyle name="Примечание 4 43" xfId="14932"/>
    <cellStyle name="Примечание 4 44" xfId="14933"/>
    <cellStyle name="Примечание 4 5" xfId="14934"/>
    <cellStyle name="Примечание 4 5 2" xfId="14935"/>
    <cellStyle name="Примечание 4 5 2 2" xfId="14936"/>
    <cellStyle name="Примечание 4 5 2 2 2" xfId="14937"/>
    <cellStyle name="Примечание 4 5 2 2 3" xfId="14938"/>
    <cellStyle name="Примечание 4 5 2 2 4" xfId="14939"/>
    <cellStyle name="Примечание 4 5 2 3" xfId="14940"/>
    <cellStyle name="Примечание 4 5 2 4" xfId="14941"/>
    <cellStyle name="Примечание 4 5 2 5" xfId="14942"/>
    <cellStyle name="Примечание 4 5 3" xfId="14943"/>
    <cellStyle name="Примечание 4 5 3 2" xfId="14944"/>
    <cellStyle name="Примечание 4 5 3 2 2" xfId="14945"/>
    <cellStyle name="Примечание 4 5 3 2 3" xfId="14946"/>
    <cellStyle name="Примечание 4 5 3 2 4" xfId="14947"/>
    <cellStyle name="Примечание 4 5 3 3" xfId="14948"/>
    <cellStyle name="Примечание 4 5 3 4" xfId="14949"/>
    <cellStyle name="Примечание 4 5 3 5" xfId="14950"/>
    <cellStyle name="Примечание 4 5 4" xfId="14951"/>
    <cellStyle name="Примечание 4 5 4 2" xfId="14952"/>
    <cellStyle name="Примечание 4 5 4 2 2" xfId="14953"/>
    <cellStyle name="Примечание 4 5 4 2 3" xfId="14954"/>
    <cellStyle name="Примечание 4 5 4 2 4" xfId="14955"/>
    <cellStyle name="Примечание 4 5 4 3" xfId="14956"/>
    <cellStyle name="Примечание 4 5 4 4" xfId="14957"/>
    <cellStyle name="Примечание 4 5 4 5" xfId="14958"/>
    <cellStyle name="Примечание 4 5 5" xfId="14959"/>
    <cellStyle name="Примечание 4 5 5 2" xfId="14960"/>
    <cellStyle name="Примечание 4 5 5 2 2" xfId="14961"/>
    <cellStyle name="Примечание 4 5 5 2 3" xfId="14962"/>
    <cellStyle name="Примечание 4 5 5 2 4" xfId="14963"/>
    <cellStyle name="Примечание 4 5 5 3" xfId="14964"/>
    <cellStyle name="Примечание 4 5 5 4" xfId="14965"/>
    <cellStyle name="Примечание 4 5 5 5" xfId="14966"/>
    <cellStyle name="Примечание 4 5 6" xfId="14967"/>
    <cellStyle name="Примечание 4 5 6 2" xfId="14968"/>
    <cellStyle name="Примечание 4 5 6 3" xfId="14969"/>
    <cellStyle name="Примечание 4 5 6 4" xfId="14970"/>
    <cellStyle name="Примечание 4 5 7" xfId="14971"/>
    <cellStyle name="Примечание 4 5 8" xfId="14972"/>
    <cellStyle name="Примечание 4 5 9" xfId="14973"/>
    <cellStyle name="Примечание 4 6" xfId="14974"/>
    <cellStyle name="Примечание 4 6 2" xfId="14975"/>
    <cellStyle name="Примечание 4 6 2 2" xfId="14976"/>
    <cellStyle name="Примечание 4 6 2 2 2" xfId="14977"/>
    <cellStyle name="Примечание 4 6 2 2 3" xfId="14978"/>
    <cellStyle name="Примечание 4 6 2 2 4" xfId="14979"/>
    <cellStyle name="Примечание 4 6 2 3" xfId="14980"/>
    <cellStyle name="Примечание 4 6 2 4" xfId="14981"/>
    <cellStyle name="Примечание 4 6 2 5" xfId="14982"/>
    <cellStyle name="Примечание 4 6 3" xfId="14983"/>
    <cellStyle name="Примечание 4 6 3 2" xfId="14984"/>
    <cellStyle name="Примечание 4 6 3 2 2" xfId="14985"/>
    <cellStyle name="Примечание 4 6 3 2 3" xfId="14986"/>
    <cellStyle name="Примечание 4 6 3 2 4" xfId="14987"/>
    <cellStyle name="Примечание 4 6 3 3" xfId="14988"/>
    <cellStyle name="Примечание 4 6 3 4" xfId="14989"/>
    <cellStyle name="Примечание 4 6 3 5" xfId="14990"/>
    <cellStyle name="Примечание 4 6 4" xfId="14991"/>
    <cellStyle name="Примечание 4 6 4 2" xfId="14992"/>
    <cellStyle name="Примечание 4 6 4 2 2" xfId="14993"/>
    <cellStyle name="Примечание 4 6 4 2 3" xfId="14994"/>
    <cellStyle name="Примечание 4 6 4 2 4" xfId="14995"/>
    <cellStyle name="Примечание 4 6 4 3" xfId="14996"/>
    <cellStyle name="Примечание 4 6 4 4" xfId="14997"/>
    <cellStyle name="Примечание 4 6 4 5" xfId="14998"/>
    <cellStyle name="Примечание 4 6 5" xfId="14999"/>
    <cellStyle name="Примечание 4 6 5 2" xfId="15000"/>
    <cellStyle name="Примечание 4 6 5 2 2" xfId="15001"/>
    <cellStyle name="Примечание 4 6 5 2 3" xfId="15002"/>
    <cellStyle name="Примечание 4 6 5 2 4" xfId="15003"/>
    <cellStyle name="Примечание 4 6 5 3" xfId="15004"/>
    <cellStyle name="Примечание 4 6 5 4" xfId="15005"/>
    <cellStyle name="Примечание 4 6 5 5" xfId="15006"/>
    <cellStyle name="Примечание 4 6 6" xfId="15007"/>
    <cellStyle name="Примечание 4 6 6 2" xfId="15008"/>
    <cellStyle name="Примечание 4 6 6 3" xfId="15009"/>
    <cellStyle name="Примечание 4 6 6 4" xfId="15010"/>
    <cellStyle name="Примечание 4 6 7" xfId="15011"/>
    <cellStyle name="Примечание 4 6 8" xfId="15012"/>
    <cellStyle name="Примечание 4 6 9" xfId="15013"/>
    <cellStyle name="Примечание 4 7" xfId="15014"/>
    <cellStyle name="Примечание 4 7 2" xfId="15015"/>
    <cellStyle name="Примечание 4 7 2 2" xfId="15016"/>
    <cellStyle name="Примечание 4 7 2 2 2" xfId="15017"/>
    <cellStyle name="Примечание 4 7 2 2 3" xfId="15018"/>
    <cellStyle name="Примечание 4 7 2 2 4" xfId="15019"/>
    <cellStyle name="Примечание 4 7 2 3" xfId="15020"/>
    <cellStyle name="Примечание 4 7 2 4" xfId="15021"/>
    <cellStyle name="Примечание 4 7 2 5" xfId="15022"/>
    <cellStyle name="Примечание 4 7 3" xfId="15023"/>
    <cellStyle name="Примечание 4 7 3 2" xfId="15024"/>
    <cellStyle name="Примечание 4 7 3 2 2" xfId="15025"/>
    <cellStyle name="Примечание 4 7 3 2 3" xfId="15026"/>
    <cellStyle name="Примечание 4 7 3 2 4" xfId="15027"/>
    <cellStyle name="Примечание 4 7 3 3" xfId="15028"/>
    <cellStyle name="Примечание 4 7 3 4" xfId="15029"/>
    <cellStyle name="Примечание 4 7 3 5" xfId="15030"/>
    <cellStyle name="Примечание 4 7 4" xfId="15031"/>
    <cellStyle name="Примечание 4 7 4 2" xfId="15032"/>
    <cellStyle name="Примечание 4 7 4 2 2" xfId="15033"/>
    <cellStyle name="Примечание 4 7 4 2 3" xfId="15034"/>
    <cellStyle name="Примечание 4 7 4 2 4" xfId="15035"/>
    <cellStyle name="Примечание 4 7 4 3" xfId="15036"/>
    <cellStyle name="Примечание 4 7 4 4" xfId="15037"/>
    <cellStyle name="Примечание 4 7 4 5" xfId="15038"/>
    <cellStyle name="Примечание 4 7 5" xfId="15039"/>
    <cellStyle name="Примечание 4 7 5 2" xfId="15040"/>
    <cellStyle name="Примечание 4 7 5 2 2" xfId="15041"/>
    <cellStyle name="Примечание 4 7 5 2 3" xfId="15042"/>
    <cellStyle name="Примечание 4 7 5 2 4" xfId="15043"/>
    <cellStyle name="Примечание 4 7 5 3" xfId="15044"/>
    <cellStyle name="Примечание 4 7 5 4" xfId="15045"/>
    <cellStyle name="Примечание 4 7 5 5" xfId="15046"/>
    <cellStyle name="Примечание 4 7 6" xfId="15047"/>
    <cellStyle name="Примечание 4 7 6 2" xfId="15048"/>
    <cellStyle name="Примечание 4 7 6 3" xfId="15049"/>
    <cellStyle name="Примечание 4 7 6 4" xfId="15050"/>
    <cellStyle name="Примечание 4 7 7" xfId="15051"/>
    <cellStyle name="Примечание 4 7 8" xfId="15052"/>
    <cellStyle name="Примечание 4 7 9" xfId="15053"/>
    <cellStyle name="Примечание 4 8" xfId="15054"/>
    <cellStyle name="Примечание 4 8 2" xfId="15055"/>
    <cellStyle name="Примечание 4 8 2 2" xfId="15056"/>
    <cellStyle name="Примечание 4 8 2 2 2" xfId="15057"/>
    <cellStyle name="Примечание 4 8 2 2 3" xfId="15058"/>
    <cellStyle name="Примечание 4 8 2 2 4" xfId="15059"/>
    <cellStyle name="Примечание 4 8 2 3" xfId="15060"/>
    <cellStyle name="Примечание 4 8 2 4" xfId="15061"/>
    <cellStyle name="Примечание 4 8 2 5" xfId="15062"/>
    <cellStyle name="Примечание 4 8 3" xfId="15063"/>
    <cellStyle name="Примечание 4 8 3 2" xfId="15064"/>
    <cellStyle name="Примечание 4 8 3 2 2" xfId="15065"/>
    <cellStyle name="Примечание 4 8 3 2 3" xfId="15066"/>
    <cellStyle name="Примечание 4 8 3 2 4" xfId="15067"/>
    <cellStyle name="Примечание 4 8 3 3" xfId="15068"/>
    <cellStyle name="Примечание 4 8 3 4" xfId="15069"/>
    <cellStyle name="Примечание 4 8 3 5" xfId="15070"/>
    <cellStyle name="Примечание 4 8 4" xfId="15071"/>
    <cellStyle name="Примечание 4 8 4 2" xfId="15072"/>
    <cellStyle name="Примечание 4 8 4 2 2" xfId="15073"/>
    <cellStyle name="Примечание 4 8 4 2 3" xfId="15074"/>
    <cellStyle name="Примечание 4 8 4 2 4" xfId="15075"/>
    <cellStyle name="Примечание 4 8 4 3" xfId="15076"/>
    <cellStyle name="Примечание 4 8 4 4" xfId="15077"/>
    <cellStyle name="Примечание 4 8 4 5" xfId="15078"/>
    <cellStyle name="Примечание 4 8 5" xfId="15079"/>
    <cellStyle name="Примечание 4 8 5 2" xfId="15080"/>
    <cellStyle name="Примечание 4 8 5 2 2" xfId="15081"/>
    <cellStyle name="Примечание 4 8 5 2 3" xfId="15082"/>
    <cellStyle name="Примечание 4 8 5 2 4" xfId="15083"/>
    <cellStyle name="Примечание 4 8 5 3" xfId="15084"/>
    <cellStyle name="Примечание 4 8 5 4" xfId="15085"/>
    <cellStyle name="Примечание 4 8 5 5" xfId="15086"/>
    <cellStyle name="Примечание 4 8 6" xfId="15087"/>
    <cellStyle name="Примечание 4 8 6 2" xfId="15088"/>
    <cellStyle name="Примечание 4 8 6 3" xfId="15089"/>
    <cellStyle name="Примечание 4 8 6 4" xfId="15090"/>
    <cellStyle name="Примечание 4 8 7" xfId="15091"/>
    <cellStyle name="Примечание 4 8 8" xfId="15092"/>
    <cellStyle name="Примечание 4 8 9" xfId="15093"/>
    <cellStyle name="Примечание 4 9" xfId="15094"/>
    <cellStyle name="Примечание 4 9 2" xfId="15095"/>
    <cellStyle name="Примечание 4 9 2 2" xfId="15096"/>
    <cellStyle name="Примечание 4 9 2 2 2" xfId="15097"/>
    <cellStyle name="Примечание 4 9 2 2 3" xfId="15098"/>
    <cellStyle name="Примечание 4 9 2 2 4" xfId="15099"/>
    <cellStyle name="Примечание 4 9 2 3" xfId="15100"/>
    <cellStyle name="Примечание 4 9 2 4" xfId="15101"/>
    <cellStyle name="Примечание 4 9 2 5" xfId="15102"/>
    <cellStyle name="Примечание 4 9 3" xfId="15103"/>
    <cellStyle name="Примечание 4 9 3 2" xfId="15104"/>
    <cellStyle name="Примечание 4 9 3 2 2" xfId="15105"/>
    <cellStyle name="Примечание 4 9 3 2 3" xfId="15106"/>
    <cellStyle name="Примечание 4 9 3 2 4" xfId="15107"/>
    <cellStyle name="Примечание 4 9 3 3" xfId="15108"/>
    <cellStyle name="Примечание 4 9 3 4" xfId="15109"/>
    <cellStyle name="Примечание 4 9 3 5" xfId="15110"/>
    <cellStyle name="Примечание 4 9 4" xfId="15111"/>
    <cellStyle name="Примечание 4 9 4 2" xfId="15112"/>
    <cellStyle name="Примечание 4 9 4 2 2" xfId="15113"/>
    <cellStyle name="Примечание 4 9 4 2 3" xfId="15114"/>
    <cellStyle name="Примечание 4 9 4 2 4" xfId="15115"/>
    <cellStyle name="Примечание 4 9 4 3" xfId="15116"/>
    <cellStyle name="Примечание 4 9 4 4" xfId="15117"/>
    <cellStyle name="Примечание 4 9 4 5" xfId="15118"/>
    <cellStyle name="Примечание 4 9 5" xfId="15119"/>
    <cellStyle name="Примечание 4 9 5 2" xfId="15120"/>
    <cellStyle name="Примечание 4 9 5 2 2" xfId="15121"/>
    <cellStyle name="Примечание 4 9 5 2 3" xfId="15122"/>
    <cellStyle name="Примечание 4 9 5 2 4" xfId="15123"/>
    <cellStyle name="Примечание 4 9 5 3" xfId="15124"/>
    <cellStyle name="Примечание 4 9 5 4" xfId="15125"/>
    <cellStyle name="Примечание 4 9 5 5" xfId="15126"/>
    <cellStyle name="Примечание 4 9 6" xfId="15127"/>
    <cellStyle name="Примечание 4 9 6 2" xfId="15128"/>
    <cellStyle name="Примечание 4 9 6 3" xfId="15129"/>
    <cellStyle name="Примечание 4 9 6 4" xfId="15130"/>
    <cellStyle name="Примечание 4 9 7" xfId="15131"/>
    <cellStyle name="Примечание 4 9 8" xfId="15132"/>
    <cellStyle name="Примечание 4 9 9" xfId="15133"/>
    <cellStyle name="Примечание 4_46EE.2011(v1.0)" xfId="15134"/>
    <cellStyle name="Примечание 40" xfId="15135"/>
    <cellStyle name="Примечание 40 2" xfId="15136"/>
    <cellStyle name="Примечание 40 3" xfId="15137"/>
    <cellStyle name="Примечание 41" xfId="15138"/>
    <cellStyle name="Примечание 41 2" xfId="15139"/>
    <cellStyle name="Примечание 41 3" xfId="15140"/>
    <cellStyle name="Примечание 42" xfId="15141"/>
    <cellStyle name="Примечание 42 2" xfId="15142"/>
    <cellStyle name="Примечание 42 3" xfId="15143"/>
    <cellStyle name="Примечание 43" xfId="15144"/>
    <cellStyle name="Примечание 43 2" xfId="15145"/>
    <cellStyle name="Примечание 43 3" xfId="15146"/>
    <cellStyle name="Примечание 44" xfId="15147"/>
    <cellStyle name="Примечание 44 2" xfId="15148"/>
    <cellStyle name="Примечание 44 3" xfId="15149"/>
    <cellStyle name="Примечание 45" xfId="15150"/>
    <cellStyle name="Примечание 45 2" xfId="15151"/>
    <cellStyle name="Примечание 45 3" xfId="15152"/>
    <cellStyle name="Примечание 46" xfId="15153"/>
    <cellStyle name="Примечание 46 2" xfId="15154"/>
    <cellStyle name="Примечание 46 3" xfId="15155"/>
    <cellStyle name="Примечание 47" xfId="15156"/>
    <cellStyle name="Примечание 47 2" xfId="15157"/>
    <cellStyle name="Примечание 47 3" xfId="15158"/>
    <cellStyle name="Примечание 48" xfId="15159"/>
    <cellStyle name="Примечание 48 2" xfId="15160"/>
    <cellStyle name="Примечание 48 3" xfId="15161"/>
    <cellStyle name="Примечание 49" xfId="15162"/>
    <cellStyle name="Примечание 49 2" xfId="15163"/>
    <cellStyle name="Примечание 49 3" xfId="15164"/>
    <cellStyle name="Примечание 5" xfId="15165"/>
    <cellStyle name="Примечание 5 10" xfId="15166"/>
    <cellStyle name="Примечание 5 10 2" xfId="15167"/>
    <cellStyle name="Примечание 5 10 2 2" xfId="15168"/>
    <cellStyle name="Примечание 5 10 2 3" xfId="15169"/>
    <cellStyle name="Примечание 5 10 2 4" xfId="15170"/>
    <cellStyle name="Примечание 5 10 3" xfId="15171"/>
    <cellStyle name="Примечание 5 10 4" xfId="15172"/>
    <cellStyle name="Примечание 5 10 5" xfId="15173"/>
    <cellStyle name="Примечание 5 11" xfId="15174"/>
    <cellStyle name="Примечание 5 11 2" xfId="15175"/>
    <cellStyle name="Примечание 5 11 2 2" xfId="15176"/>
    <cellStyle name="Примечание 5 11 2 3" xfId="15177"/>
    <cellStyle name="Примечание 5 11 2 4" xfId="15178"/>
    <cellStyle name="Примечание 5 11 3" xfId="15179"/>
    <cellStyle name="Примечание 5 11 4" xfId="15180"/>
    <cellStyle name="Примечание 5 11 5" xfId="15181"/>
    <cellStyle name="Примечание 5 12" xfId="15182"/>
    <cellStyle name="Примечание 5 12 2" xfId="15183"/>
    <cellStyle name="Примечание 5 12 2 2" xfId="15184"/>
    <cellStyle name="Примечание 5 12 2 3" xfId="15185"/>
    <cellStyle name="Примечание 5 12 2 4" xfId="15186"/>
    <cellStyle name="Примечание 5 12 3" xfId="15187"/>
    <cellStyle name="Примечание 5 12 4" xfId="15188"/>
    <cellStyle name="Примечание 5 12 5" xfId="15189"/>
    <cellStyle name="Примечание 5 13" xfId="15190"/>
    <cellStyle name="Примечание 5 13 2" xfId="15191"/>
    <cellStyle name="Примечание 5 13 2 2" xfId="15192"/>
    <cellStyle name="Примечание 5 13 2 3" xfId="15193"/>
    <cellStyle name="Примечание 5 13 2 4" xfId="15194"/>
    <cellStyle name="Примечание 5 13 3" xfId="15195"/>
    <cellStyle name="Примечание 5 13 4" xfId="15196"/>
    <cellStyle name="Примечание 5 13 5" xfId="15197"/>
    <cellStyle name="Примечание 5 14" xfId="15198"/>
    <cellStyle name="Примечание 5 14 2" xfId="15199"/>
    <cellStyle name="Примечание 5 14 3" xfId="15200"/>
    <cellStyle name="Примечание 5 14 4" xfId="15201"/>
    <cellStyle name="Примечание 5 15" xfId="15202"/>
    <cellStyle name="Примечание 5 16" xfId="15203"/>
    <cellStyle name="Примечание 5 17" xfId="15204"/>
    <cellStyle name="Примечание 5 18" xfId="15205"/>
    <cellStyle name="Примечание 5 19" xfId="15206"/>
    <cellStyle name="Примечание 5 2" xfId="15207"/>
    <cellStyle name="Примечание 5 2 2" xfId="15208"/>
    <cellStyle name="Примечание 5 2 2 2" xfId="15209"/>
    <cellStyle name="Примечание 5 2 2 2 2" xfId="15210"/>
    <cellStyle name="Примечание 5 2 2 2 3" xfId="15211"/>
    <cellStyle name="Примечание 5 2 2 2 4" xfId="15212"/>
    <cellStyle name="Примечание 5 2 2 3" xfId="15213"/>
    <cellStyle name="Примечание 5 2 2 4" xfId="15214"/>
    <cellStyle name="Примечание 5 2 2 5" xfId="15215"/>
    <cellStyle name="Примечание 5 2 3" xfId="15216"/>
    <cellStyle name="Примечание 5 2 3 2" xfId="15217"/>
    <cellStyle name="Примечание 5 2 3 2 2" xfId="15218"/>
    <cellStyle name="Примечание 5 2 3 2 3" xfId="15219"/>
    <cellStyle name="Примечание 5 2 3 2 4" xfId="15220"/>
    <cellStyle name="Примечание 5 2 3 3" xfId="15221"/>
    <cellStyle name="Примечание 5 2 3 4" xfId="15222"/>
    <cellStyle name="Примечание 5 2 3 5" xfId="15223"/>
    <cellStyle name="Примечание 5 2 4" xfId="15224"/>
    <cellStyle name="Примечание 5 2 4 2" xfId="15225"/>
    <cellStyle name="Примечание 5 2 4 2 2" xfId="15226"/>
    <cellStyle name="Примечание 5 2 4 2 3" xfId="15227"/>
    <cellStyle name="Примечание 5 2 4 2 4" xfId="15228"/>
    <cellStyle name="Примечание 5 2 4 3" xfId="15229"/>
    <cellStyle name="Примечание 5 2 4 4" xfId="15230"/>
    <cellStyle name="Примечание 5 2 4 5" xfId="15231"/>
    <cellStyle name="Примечание 5 2 5" xfId="15232"/>
    <cellStyle name="Примечание 5 2 5 2" xfId="15233"/>
    <cellStyle name="Примечание 5 2 5 2 2" xfId="15234"/>
    <cellStyle name="Примечание 5 2 5 2 3" xfId="15235"/>
    <cellStyle name="Примечание 5 2 5 2 4" xfId="15236"/>
    <cellStyle name="Примечание 5 2 5 3" xfId="15237"/>
    <cellStyle name="Примечание 5 2 5 4" xfId="15238"/>
    <cellStyle name="Примечание 5 2 5 5" xfId="15239"/>
    <cellStyle name="Примечание 5 2 6" xfId="15240"/>
    <cellStyle name="Примечание 5 2 6 2" xfId="15241"/>
    <cellStyle name="Примечание 5 2 6 3" xfId="15242"/>
    <cellStyle name="Примечание 5 2 6 4" xfId="15243"/>
    <cellStyle name="Примечание 5 2 7" xfId="15244"/>
    <cellStyle name="Примечание 5 2 8" xfId="15245"/>
    <cellStyle name="Примечание 5 2 9" xfId="15246"/>
    <cellStyle name="Примечание 5 20" xfId="15247"/>
    <cellStyle name="Примечание 5 21" xfId="15248"/>
    <cellStyle name="Примечание 5 22" xfId="15249"/>
    <cellStyle name="Примечание 5 23" xfId="15250"/>
    <cellStyle name="Примечание 5 24" xfId="15251"/>
    <cellStyle name="Примечание 5 25" xfId="15252"/>
    <cellStyle name="Примечание 5 26" xfId="15253"/>
    <cellStyle name="Примечание 5 27" xfId="15254"/>
    <cellStyle name="Примечание 5 28" xfId="15255"/>
    <cellStyle name="Примечание 5 29" xfId="15256"/>
    <cellStyle name="Примечание 5 3" xfId="15257"/>
    <cellStyle name="Примечание 5 3 2" xfId="15258"/>
    <cellStyle name="Примечание 5 3 2 2" xfId="15259"/>
    <cellStyle name="Примечание 5 3 2 2 2" xfId="15260"/>
    <cellStyle name="Примечание 5 3 2 2 3" xfId="15261"/>
    <cellStyle name="Примечание 5 3 2 2 4" xfId="15262"/>
    <cellStyle name="Примечание 5 3 2 3" xfId="15263"/>
    <cellStyle name="Примечание 5 3 2 4" xfId="15264"/>
    <cellStyle name="Примечание 5 3 2 5" xfId="15265"/>
    <cellStyle name="Примечание 5 3 3" xfId="15266"/>
    <cellStyle name="Примечание 5 3 3 2" xfId="15267"/>
    <cellStyle name="Примечание 5 3 3 2 2" xfId="15268"/>
    <cellStyle name="Примечание 5 3 3 2 3" xfId="15269"/>
    <cellStyle name="Примечание 5 3 3 2 4" xfId="15270"/>
    <cellStyle name="Примечание 5 3 3 3" xfId="15271"/>
    <cellStyle name="Примечание 5 3 3 4" xfId="15272"/>
    <cellStyle name="Примечание 5 3 3 5" xfId="15273"/>
    <cellStyle name="Примечание 5 3 4" xfId="15274"/>
    <cellStyle name="Примечание 5 3 4 2" xfId="15275"/>
    <cellStyle name="Примечание 5 3 4 2 2" xfId="15276"/>
    <cellStyle name="Примечание 5 3 4 2 3" xfId="15277"/>
    <cellStyle name="Примечание 5 3 4 2 4" xfId="15278"/>
    <cellStyle name="Примечание 5 3 4 3" xfId="15279"/>
    <cellStyle name="Примечание 5 3 4 4" xfId="15280"/>
    <cellStyle name="Примечание 5 3 4 5" xfId="15281"/>
    <cellStyle name="Примечание 5 3 5" xfId="15282"/>
    <cellStyle name="Примечание 5 3 5 2" xfId="15283"/>
    <cellStyle name="Примечание 5 3 5 2 2" xfId="15284"/>
    <cellStyle name="Примечание 5 3 5 2 3" xfId="15285"/>
    <cellStyle name="Примечание 5 3 5 2 4" xfId="15286"/>
    <cellStyle name="Примечание 5 3 5 3" xfId="15287"/>
    <cellStyle name="Примечание 5 3 5 4" xfId="15288"/>
    <cellStyle name="Примечание 5 3 5 5" xfId="15289"/>
    <cellStyle name="Примечание 5 3 6" xfId="15290"/>
    <cellStyle name="Примечание 5 3 6 2" xfId="15291"/>
    <cellStyle name="Примечание 5 3 6 3" xfId="15292"/>
    <cellStyle name="Примечание 5 3 6 4" xfId="15293"/>
    <cellStyle name="Примечание 5 3 7" xfId="15294"/>
    <cellStyle name="Примечание 5 3 8" xfId="15295"/>
    <cellStyle name="Примечание 5 3 9" xfId="15296"/>
    <cellStyle name="Примечание 5 30" xfId="15297"/>
    <cellStyle name="Примечание 5 31" xfId="15298"/>
    <cellStyle name="Примечание 5 32" xfId="15299"/>
    <cellStyle name="Примечание 5 33" xfId="15300"/>
    <cellStyle name="Примечание 5 34" xfId="15301"/>
    <cellStyle name="Примечание 5 35" xfId="15302"/>
    <cellStyle name="Примечание 5 36" xfId="15303"/>
    <cellStyle name="Примечание 5 37" xfId="15304"/>
    <cellStyle name="Примечание 5 38" xfId="15305"/>
    <cellStyle name="Примечание 5 39" xfId="15306"/>
    <cellStyle name="Примечание 5 4" xfId="15307"/>
    <cellStyle name="Примечание 5 4 2" xfId="15308"/>
    <cellStyle name="Примечание 5 4 2 2" xfId="15309"/>
    <cellStyle name="Примечание 5 4 2 2 2" xfId="15310"/>
    <cellStyle name="Примечание 5 4 2 2 3" xfId="15311"/>
    <cellStyle name="Примечание 5 4 2 2 4" xfId="15312"/>
    <cellStyle name="Примечание 5 4 2 3" xfId="15313"/>
    <cellStyle name="Примечание 5 4 2 4" xfId="15314"/>
    <cellStyle name="Примечание 5 4 2 5" xfId="15315"/>
    <cellStyle name="Примечание 5 4 3" xfId="15316"/>
    <cellStyle name="Примечание 5 4 3 2" xfId="15317"/>
    <cellStyle name="Примечание 5 4 3 2 2" xfId="15318"/>
    <cellStyle name="Примечание 5 4 3 2 3" xfId="15319"/>
    <cellStyle name="Примечание 5 4 3 2 4" xfId="15320"/>
    <cellStyle name="Примечание 5 4 3 3" xfId="15321"/>
    <cellStyle name="Примечание 5 4 3 4" xfId="15322"/>
    <cellStyle name="Примечание 5 4 3 5" xfId="15323"/>
    <cellStyle name="Примечание 5 4 4" xfId="15324"/>
    <cellStyle name="Примечание 5 4 4 2" xfId="15325"/>
    <cellStyle name="Примечание 5 4 4 2 2" xfId="15326"/>
    <cellStyle name="Примечание 5 4 4 2 3" xfId="15327"/>
    <cellStyle name="Примечание 5 4 4 2 4" xfId="15328"/>
    <cellStyle name="Примечание 5 4 4 3" xfId="15329"/>
    <cellStyle name="Примечание 5 4 4 4" xfId="15330"/>
    <cellStyle name="Примечание 5 4 4 5" xfId="15331"/>
    <cellStyle name="Примечание 5 4 5" xfId="15332"/>
    <cellStyle name="Примечание 5 4 5 2" xfId="15333"/>
    <cellStyle name="Примечание 5 4 5 2 2" xfId="15334"/>
    <cellStyle name="Примечание 5 4 5 2 3" xfId="15335"/>
    <cellStyle name="Примечание 5 4 5 2 4" xfId="15336"/>
    <cellStyle name="Примечание 5 4 5 3" xfId="15337"/>
    <cellStyle name="Примечание 5 4 5 4" xfId="15338"/>
    <cellStyle name="Примечание 5 4 5 5" xfId="15339"/>
    <cellStyle name="Примечание 5 4 6" xfId="15340"/>
    <cellStyle name="Примечание 5 4 6 2" xfId="15341"/>
    <cellStyle name="Примечание 5 4 6 3" xfId="15342"/>
    <cellStyle name="Примечание 5 4 6 4" xfId="15343"/>
    <cellStyle name="Примечание 5 4 7" xfId="15344"/>
    <cellStyle name="Примечание 5 4 8" xfId="15345"/>
    <cellStyle name="Примечание 5 4 9" xfId="15346"/>
    <cellStyle name="Примечание 5 40" xfId="15347"/>
    <cellStyle name="Примечание 5 41" xfId="15348"/>
    <cellStyle name="Примечание 5 42" xfId="15349"/>
    <cellStyle name="Примечание 5 43" xfId="15350"/>
    <cellStyle name="Примечание 5 44" xfId="15351"/>
    <cellStyle name="Примечание 5 5" xfId="15352"/>
    <cellStyle name="Примечание 5 5 2" xfId="15353"/>
    <cellStyle name="Примечание 5 5 2 2" xfId="15354"/>
    <cellStyle name="Примечание 5 5 2 2 2" xfId="15355"/>
    <cellStyle name="Примечание 5 5 2 2 3" xfId="15356"/>
    <cellStyle name="Примечание 5 5 2 2 4" xfId="15357"/>
    <cellStyle name="Примечание 5 5 2 3" xfId="15358"/>
    <cellStyle name="Примечание 5 5 2 4" xfId="15359"/>
    <cellStyle name="Примечание 5 5 2 5" xfId="15360"/>
    <cellStyle name="Примечание 5 5 3" xfId="15361"/>
    <cellStyle name="Примечание 5 5 3 2" xfId="15362"/>
    <cellStyle name="Примечание 5 5 3 2 2" xfId="15363"/>
    <cellStyle name="Примечание 5 5 3 2 3" xfId="15364"/>
    <cellStyle name="Примечание 5 5 3 2 4" xfId="15365"/>
    <cellStyle name="Примечание 5 5 3 3" xfId="15366"/>
    <cellStyle name="Примечание 5 5 3 4" xfId="15367"/>
    <cellStyle name="Примечание 5 5 3 5" xfId="15368"/>
    <cellStyle name="Примечание 5 5 4" xfId="15369"/>
    <cellStyle name="Примечание 5 5 4 2" xfId="15370"/>
    <cellStyle name="Примечание 5 5 4 2 2" xfId="15371"/>
    <cellStyle name="Примечание 5 5 4 2 3" xfId="15372"/>
    <cellStyle name="Примечание 5 5 4 2 4" xfId="15373"/>
    <cellStyle name="Примечание 5 5 4 3" xfId="15374"/>
    <cellStyle name="Примечание 5 5 4 4" xfId="15375"/>
    <cellStyle name="Примечание 5 5 4 5" xfId="15376"/>
    <cellStyle name="Примечание 5 5 5" xfId="15377"/>
    <cellStyle name="Примечание 5 5 5 2" xfId="15378"/>
    <cellStyle name="Примечание 5 5 5 2 2" xfId="15379"/>
    <cellStyle name="Примечание 5 5 5 2 3" xfId="15380"/>
    <cellStyle name="Примечание 5 5 5 2 4" xfId="15381"/>
    <cellStyle name="Примечание 5 5 5 3" xfId="15382"/>
    <cellStyle name="Примечание 5 5 5 4" xfId="15383"/>
    <cellStyle name="Примечание 5 5 5 5" xfId="15384"/>
    <cellStyle name="Примечание 5 5 6" xfId="15385"/>
    <cellStyle name="Примечание 5 5 6 2" xfId="15386"/>
    <cellStyle name="Примечание 5 5 6 3" xfId="15387"/>
    <cellStyle name="Примечание 5 5 6 4" xfId="15388"/>
    <cellStyle name="Примечание 5 5 7" xfId="15389"/>
    <cellStyle name="Примечание 5 5 8" xfId="15390"/>
    <cellStyle name="Примечание 5 5 9" xfId="15391"/>
    <cellStyle name="Примечание 5 6" xfId="15392"/>
    <cellStyle name="Примечание 5 6 2" xfId="15393"/>
    <cellStyle name="Примечание 5 6 2 2" xfId="15394"/>
    <cellStyle name="Примечание 5 6 2 2 2" xfId="15395"/>
    <cellStyle name="Примечание 5 6 2 2 3" xfId="15396"/>
    <cellStyle name="Примечание 5 6 2 2 4" xfId="15397"/>
    <cellStyle name="Примечание 5 6 2 3" xfId="15398"/>
    <cellStyle name="Примечание 5 6 2 4" xfId="15399"/>
    <cellStyle name="Примечание 5 6 2 5" xfId="15400"/>
    <cellStyle name="Примечание 5 6 3" xfId="15401"/>
    <cellStyle name="Примечание 5 6 3 2" xfId="15402"/>
    <cellStyle name="Примечание 5 6 3 2 2" xfId="15403"/>
    <cellStyle name="Примечание 5 6 3 2 3" xfId="15404"/>
    <cellStyle name="Примечание 5 6 3 2 4" xfId="15405"/>
    <cellStyle name="Примечание 5 6 3 3" xfId="15406"/>
    <cellStyle name="Примечание 5 6 3 4" xfId="15407"/>
    <cellStyle name="Примечание 5 6 3 5" xfId="15408"/>
    <cellStyle name="Примечание 5 6 4" xfId="15409"/>
    <cellStyle name="Примечание 5 6 4 2" xfId="15410"/>
    <cellStyle name="Примечание 5 6 4 2 2" xfId="15411"/>
    <cellStyle name="Примечание 5 6 4 2 3" xfId="15412"/>
    <cellStyle name="Примечание 5 6 4 2 4" xfId="15413"/>
    <cellStyle name="Примечание 5 6 4 3" xfId="15414"/>
    <cellStyle name="Примечание 5 6 4 4" xfId="15415"/>
    <cellStyle name="Примечание 5 6 4 5" xfId="15416"/>
    <cellStyle name="Примечание 5 6 5" xfId="15417"/>
    <cellStyle name="Примечание 5 6 5 2" xfId="15418"/>
    <cellStyle name="Примечание 5 6 5 2 2" xfId="15419"/>
    <cellStyle name="Примечание 5 6 5 2 3" xfId="15420"/>
    <cellStyle name="Примечание 5 6 5 2 4" xfId="15421"/>
    <cellStyle name="Примечание 5 6 5 3" xfId="15422"/>
    <cellStyle name="Примечание 5 6 5 4" xfId="15423"/>
    <cellStyle name="Примечание 5 6 5 5" xfId="15424"/>
    <cellStyle name="Примечание 5 6 6" xfId="15425"/>
    <cellStyle name="Примечание 5 6 6 2" xfId="15426"/>
    <cellStyle name="Примечание 5 6 6 3" xfId="15427"/>
    <cellStyle name="Примечание 5 6 6 4" xfId="15428"/>
    <cellStyle name="Примечание 5 6 7" xfId="15429"/>
    <cellStyle name="Примечание 5 6 8" xfId="15430"/>
    <cellStyle name="Примечание 5 6 9" xfId="15431"/>
    <cellStyle name="Примечание 5 7" xfId="15432"/>
    <cellStyle name="Примечание 5 7 2" xfId="15433"/>
    <cellStyle name="Примечание 5 7 2 2" xfId="15434"/>
    <cellStyle name="Примечание 5 7 2 2 2" xfId="15435"/>
    <cellStyle name="Примечание 5 7 2 2 3" xfId="15436"/>
    <cellStyle name="Примечание 5 7 2 2 4" xfId="15437"/>
    <cellStyle name="Примечание 5 7 2 3" xfId="15438"/>
    <cellStyle name="Примечание 5 7 2 4" xfId="15439"/>
    <cellStyle name="Примечание 5 7 2 5" xfId="15440"/>
    <cellStyle name="Примечание 5 7 3" xfId="15441"/>
    <cellStyle name="Примечание 5 7 3 2" xfId="15442"/>
    <cellStyle name="Примечание 5 7 3 2 2" xfId="15443"/>
    <cellStyle name="Примечание 5 7 3 2 3" xfId="15444"/>
    <cellStyle name="Примечание 5 7 3 2 4" xfId="15445"/>
    <cellStyle name="Примечание 5 7 3 3" xfId="15446"/>
    <cellStyle name="Примечание 5 7 3 4" xfId="15447"/>
    <cellStyle name="Примечание 5 7 3 5" xfId="15448"/>
    <cellStyle name="Примечание 5 7 4" xfId="15449"/>
    <cellStyle name="Примечание 5 7 4 2" xfId="15450"/>
    <cellStyle name="Примечание 5 7 4 2 2" xfId="15451"/>
    <cellStyle name="Примечание 5 7 4 2 3" xfId="15452"/>
    <cellStyle name="Примечание 5 7 4 2 4" xfId="15453"/>
    <cellStyle name="Примечание 5 7 4 3" xfId="15454"/>
    <cellStyle name="Примечание 5 7 4 4" xfId="15455"/>
    <cellStyle name="Примечание 5 7 4 5" xfId="15456"/>
    <cellStyle name="Примечание 5 7 5" xfId="15457"/>
    <cellStyle name="Примечание 5 7 5 2" xfId="15458"/>
    <cellStyle name="Примечание 5 7 5 2 2" xfId="15459"/>
    <cellStyle name="Примечание 5 7 5 2 3" xfId="15460"/>
    <cellStyle name="Примечание 5 7 5 2 4" xfId="15461"/>
    <cellStyle name="Примечание 5 7 5 3" xfId="15462"/>
    <cellStyle name="Примечание 5 7 5 4" xfId="15463"/>
    <cellStyle name="Примечание 5 7 5 5" xfId="15464"/>
    <cellStyle name="Примечание 5 7 6" xfId="15465"/>
    <cellStyle name="Примечание 5 7 6 2" xfId="15466"/>
    <cellStyle name="Примечание 5 7 6 3" xfId="15467"/>
    <cellStyle name="Примечание 5 7 6 4" xfId="15468"/>
    <cellStyle name="Примечание 5 7 7" xfId="15469"/>
    <cellStyle name="Примечание 5 7 8" xfId="15470"/>
    <cellStyle name="Примечание 5 7 9" xfId="15471"/>
    <cellStyle name="Примечание 5 8" xfId="15472"/>
    <cellStyle name="Примечание 5 8 2" xfId="15473"/>
    <cellStyle name="Примечание 5 8 2 2" xfId="15474"/>
    <cellStyle name="Примечание 5 8 2 2 2" xfId="15475"/>
    <cellStyle name="Примечание 5 8 2 2 3" xfId="15476"/>
    <cellStyle name="Примечание 5 8 2 2 4" xfId="15477"/>
    <cellStyle name="Примечание 5 8 2 3" xfId="15478"/>
    <cellStyle name="Примечание 5 8 2 4" xfId="15479"/>
    <cellStyle name="Примечание 5 8 2 5" xfId="15480"/>
    <cellStyle name="Примечание 5 8 3" xfId="15481"/>
    <cellStyle name="Примечание 5 8 3 2" xfId="15482"/>
    <cellStyle name="Примечание 5 8 3 2 2" xfId="15483"/>
    <cellStyle name="Примечание 5 8 3 2 3" xfId="15484"/>
    <cellStyle name="Примечание 5 8 3 2 4" xfId="15485"/>
    <cellStyle name="Примечание 5 8 3 3" xfId="15486"/>
    <cellStyle name="Примечание 5 8 3 4" xfId="15487"/>
    <cellStyle name="Примечание 5 8 3 5" xfId="15488"/>
    <cellStyle name="Примечание 5 8 4" xfId="15489"/>
    <cellStyle name="Примечание 5 8 4 2" xfId="15490"/>
    <cellStyle name="Примечание 5 8 4 2 2" xfId="15491"/>
    <cellStyle name="Примечание 5 8 4 2 3" xfId="15492"/>
    <cellStyle name="Примечание 5 8 4 2 4" xfId="15493"/>
    <cellStyle name="Примечание 5 8 4 3" xfId="15494"/>
    <cellStyle name="Примечание 5 8 4 4" xfId="15495"/>
    <cellStyle name="Примечание 5 8 4 5" xfId="15496"/>
    <cellStyle name="Примечание 5 8 5" xfId="15497"/>
    <cellStyle name="Примечание 5 8 5 2" xfId="15498"/>
    <cellStyle name="Примечание 5 8 5 2 2" xfId="15499"/>
    <cellStyle name="Примечание 5 8 5 2 3" xfId="15500"/>
    <cellStyle name="Примечание 5 8 5 2 4" xfId="15501"/>
    <cellStyle name="Примечание 5 8 5 3" xfId="15502"/>
    <cellStyle name="Примечание 5 8 5 4" xfId="15503"/>
    <cellStyle name="Примечание 5 8 5 5" xfId="15504"/>
    <cellStyle name="Примечание 5 8 6" xfId="15505"/>
    <cellStyle name="Примечание 5 8 6 2" xfId="15506"/>
    <cellStyle name="Примечание 5 8 6 3" xfId="15507"/>
    <cellStyle name="Примечание 5 8 6 4" xfId="15508"/>
    <cellStyle name="Примечание 5 8 7" xfId="15509"/>
    <cellStyle name="Примечание 5 8 8" xfId="15510"/>
    <cellStyle name="Примечание 5 8 9" xfId="15511"/>
    <cellStyle name="Примечание 5 9" xfId="15512"/>
    <cellStyle name="Примечание 5 9 2" xfId="15513"/>
    <cellStyle name="Примечание 5 9 2 2" xfId="15514"/>
    <cellStyle name="Примечание 5 9 2 2 2" xfId="15515"/>
    <cellStyle name="Примечание 5 9 2 2 3" xfId="15516"/>
    <cellStyle name="Примечание 5 9 2 2 4" xfId="15517"/>
    <cellStyle name="Примечание 5 9 2 3" xfId="15518"/>
    <cellStyle name="Примечание 5 9 2 4" xfId="15519"/>
    <cellStyle name="Примечание 5 9 2 5" xfId="15520"/>
    <cellStyle name="Примечание 5 9 3" xfId="15521"/>
    <cellStyle name="Примечание 5 9 3 2" xfId="15522"/>
    <cellStyle name="Примечание 5 9 3 2 2" xfId="15523"/>
    <cellStyle name="Примечание 5 9 3 2 3" xfId="15524"/>
    <cellStyle name="Примечание 5 9 3 2 4" xfId="15525"/>
    <cellStyle name="Примечание 5 9 3 3" xfId="15526"/>
    <cellStyle name="Примечание 5 9 3 4" xfId="15527"/>
    <cellStyle name="Примечание 5 9 3 5" xfId="15528"/>
    <cellStyle name="Примечание 5 9 4" xfId="15529"/>
    <cellStyle name="Примечание 5 9 4 2" xfId="15530"/>
    <cellStyle name="Примечание 5 9 4 2 2" xfId="15531"/>
    <cellStyle name="Примечание 5 9 4 2 3" xfId="15532"/>
    <cellStyle name="Примечание 5 9 4 2 4" xfId="15533"/>
    <cellStyle name="Примечание 5 9 4 3" xfId="15534"/>
    <cellStyle name="Примечание 5 9 4 4" xfId="15535"/>
    <cellStyle name="Примечание 5 9 4 5" xfId="15536"/>
    <cellStyle name="Примечание 5 9 5" xfId="15537"/>
    <cellStyle name="Примечание 5 9 5 2" xfId="15538"/>
    <cellStyle name="Примечание 5 9 5 2 2" xfId="15539"/>
    <cellStyle name="Примечание 5 9 5 2 3" xfId="15540"/>
    <cellStyle name="Примечание 5 9 5 2 4" xfId="15541"/>
    <cellStyle name="Примечание 5 9 5 3" xfId="15542"/>
    <cellStyle name="Примечание 5 9 5 4" xfId="15543"/>
    <cellStyle name="Примечание 5 9 5 5" xfId="15544"/>
    <cellStyle name="Примечание 5 9 6" xfId="15545"/>
    <cellStyle name="Примечание 5 9 6 2" xfId="15546"/>
    <cellStyle name="Примечание 5 9 6 3" xfId="15547"/>
    <cellStyle name="Примечание 5 9 6 4" xfId="15548"/>
    <cellStyle name="Примечание 5 9 7" xfId="15549"/>
    <cellStyle name="Примечание 5 9 8" xfId="15550"/>
    <cellStyle name="Примечание 5 9 9" xfId="15551"/>
    <cellStyle name="Примечание 5_46EE.2011(v1.0)" xfId="15552"/>
    <cellStyle name="Примечание 50" xfId="15553"/>
    <cellStyle name="Примечание 50 2" xfId="15554"/>
    <cellStyle name="Примечание 50 3" xfId="15555"/>
    <cellStyle name="Примечание 51" xfId="15556"/>
    <cellStyle name="Примечание 51 2" xfId="15557"/>
    <cellStyle name="Примечание 51 3" xfId="15558"/>
    <cellStyle name="Примечание 52" xfId="15559"/>
    <cellStyle name="Примечание 52 2" xfId="15560"/>
    <cellStyle name="Примечание 52 3" xfId="15561"/>
    <cellStyle name="Примечание 53" xfId="15562"/>
    <cellStyle name="Примечание 53 2" xfId="15563"/>
    <cellStyle name="Примечание 53 3" xfId="15564"/>
    <cellStyle name="Примечание 54" xfId="15565"/>
    <cellStyle name="Примечание 54 2" xfId="15566"/>
    <cellStyle name="Примечание 54 3" xfId="15567"/>
    <cellStyle name="Примечание 55" xfId="15568"/>
    <cellStyle name="Примечание 55 2" xfId="15569"/>
    <cellStyle name="Примечание 55 3" xfId="15570"/>
    <cellStyle name="Примечание 56" xfId="15571"/>
    <cellStyle name="Примечание 56 2" xfId="15572"/>
    <cellStyle name="Примечание 56 3" xfId="15573"/>
    <cellStyle name="Примечание 57" xfId="15574"/>
    <cellStyle name="Примечание 57 2" xfId="15575"/>
    <cellStyle name="Примечание 57 3" xfId="15576"/>
    <cellStyle name="Примечание 58" xfId="15577"/>
    <cellStyle name="Примечание 58 2" xfId="15578"/>
    <cellStyle name="Примечание 58 3" xfId="15579"/>
    <cellStyle name="Примечание 59" xfId="15580"/>
    <cellStyle name="Примечание 59 2" xfId="15581"/>
    <cellStyle name="Примечание 59 3" xfId="15582"/>
    <cellStyle name="Примечание 6" xfId="15583"/>
    <cellStyle name="Примечание 6 10" xfId="15584"/>
    <cellStyle name="Примечание 6 11" xfId="15585"/>
    <cellStyle name="Примечание 6 12" xfId="15586"/>
    <cellStyle name="Примечание 6 13" xfId="15587"/>
    <cellStyle name="Примечание 6 14" xfId="15588"/>
    <cellStyle name="Примечание 6 15" xfId="15589"/>
    <cellStyle name="Примечание 6 16" xfId="15590"/>
    <cellStyle name="Примечание 6 17" xfId="15591"/>
    <cellStyle name="Примечание 6 18" xfId="15592"/>
    <cellStyle name="Примечание 6 19" xfId="15593"/>
    <cellStyle name="Примечание 6 2" xfId="15594"/>
    <cellStyle name="Примечание 6 2 2" xfId="15595"/>
    <cellStyle name="Примечание 6 2 2 2" xfId="15596"/>
    <cellStyle name="Примечание 6 2 2 2 2" xfId="15597"/>
    <cellStyle name="Примечание 6 2 2 2 3" xfId="15598"/>
    <cellStyle name="Примечание 6 2 2 2 4" xfId="15599"/>
    <cellStyle name="Примечание 6 2 2 3" xfId="15600"/>
    <cellStyle name="Примечание 6 2 2 4" xfId="15601"/>
    <cellStyle name="Примечание 6 2 2 5" xfId="15602"/>
    <cellStyle name="Примечание 6 2 3" xfId="15603"/>
    <cellStyle name="Примечание 6 2 3 2" xfId="15604"/>
    <cellStyle name="Примечание 6 2 3 2 2" xfId="15605"/>
    <cellStyle name="Примечание 6 2 3 2 3" xfId="15606"/>
    <cellStyle name="Примечание 6 2 3 2 4" xfId="15607"/>
    <cellStyle name="Примечание 6 2 3 3" xfId="15608"/>
    <cellStyle name="Примечание 6 2 3 4" xfId="15609"/>
    <cellStyle name="Примечание 6 2 3 5" xfId="15610"/>
    <cellStyle name="Примечание 6 2 4" xfId="15611"/>
    <cellStyle name="Примечание 6 2 4 2" xfId="15612"/>
    <cellStyle name="Примечание 6 2 4 2 2" xfId="15613"/>
    <cellStyle name="Примечание 6 2 4 2 3" xfId="15614"/>
    <cellStyle name="Примечание 6 2 4 2 4" xfId="15615"/>
    <cellStyle name="Примечание 6 2 4 3" xfId="15616"/>
    <cellStyle name="Примечание 6 2 4 4" xfId="15617"/>
    <cellStyle name="Примечание 6 2 4 5" xfId="15618"/>
    <cellStyle name="Примечание 6 2 5" xfId="15619"/>
    <cellStyle name="Примечание 6 2 5 2" xfId="15620"/>
    <cellStyle name="Примечание 6 2 5 2 2" xfId="15621"/>
    <cellStyle name="Примечание 6 2 5 2 3" xfId="15622"/>
    <cellStyle name="Примечание 6 2 5 2 4" xfId="15623"/>
    <cellStyle name="Примечание 6 2 5 3" xfId="15624"/>
    <cellStyle name="Примечание 6 2 5 4" xfId="15625"/>
    <cellStyle name="Примечание 6 2 5 5" xfId="15626"/>
    <cellStyle name="Примечание 6 2 6" xfId="15627"/>
    <cellStyle name="Примечание 6 2 6 2" xfId="15628"/>
    <cellStyle name="Примечание 6 2 6 3" xfId="15629"/>
    <cellStyle name="Примечание 6 2 6 4" xfId="15630"/>
    <cellStyle name="Примечание 6 2 7" xfId="15631"/>
    <cellStyle name="Примечание 6 2 8" xfId="15632"/>
    <cellStyle name="Примечание 6 2 9" xfId="15633"/>
    <cellStyle name="Примечание 6 20" xfId="15634"/>
    <cellStyle name="Примечание 6 21" xfId="15635"/>
    <cellStyle name="Примечание 6 22" xfId="15636"/>
    <cellStyle name="Примечание 6 23" xfId="15637"/>
    <cellStyle name="Примечание 6 24" xfId="15638"/>
    <cellStyle name="Примечание 6 25" xfId="15639"/>
    <cellStyle name="Примечание 6 26" xfId="15640"/>
    <cellStyle name="Примечание 6 27" xfId="15641"/>
    <cellStyle name="Примечание 6 28" xfId="15642"/>
    <cellStyle name="Примечание 6 29" xfId="15643"/>
    <cellStyle name="Примечание 6 3" xfId="15644"/>
    <cellStyle name="Примечание 6 3 2" xfId="15645"/>
    <cellStyle name="Примечание 6 3 2 2" xfId="15646"/>
    <cellStyle name="Примечание 6 3 2 3" xfId="15647"/>
    <cellStyle name="Примечание 6 3 2 4" xfId="15648"/>
    <cellStyle name="Примечание 6 3 3" xfId="15649"/>
    <cellStyle name="Примечание 6 3 4" xfId="15650"/>
    <cellStyle name="Примечание 6 3 5" xfId="15651"/>
    <cellStyle name="Примечание 6 30" xfId="15652"/>
    <cellStyle name="Примечание 6 31" xfId="15653"/>
    <cellStyle name="Примечание 6 32" xfId="15654"/>
    <cellStyle name="Примечание 6 33" xfId="15655"/>
    <cellStyle name="Примечание 6 34" xfId="15656"/>
    <cellStyle name="Примечание 6 35" xfId="15657"/>
    <cellStyle name="Примечание 6 36" xfId="15658"/>
    <cellStyle name="Примечание 6 37" xfId="15659"/>
    <cellStyle name="Примечание 6 38" xfId="15660"/>
    <cellStyle name="Примечание 6 39" xfId="15661"/>
    <cellStyle name="Примечание 6 4" xfId="15662"/>
    <cellStyle name="Примечание 6 4 2" xfId="15663"/>
    <cellStyle name="Примечание 6 4 2 2" xfId="15664"/>
    <cellStyle name="Примечание 6 4 2 3" xfId="15665"/>
    <cellStyle name="Примечание 6 4 2 4" xfId="15666"/>
    <cellStyle name="Примечание 6 4 3" xfId="15667"/>
    <cellStyle name="Примечание 6 4 4" xfId="15668"/>
    <cellStyle name="Примечание 6 4 5" xfId="15669"/>
    <cellStyle name="Примечание 6 40" xfId="15670"/>
    <cellStyle name="Примечание 6 41" xfId="15671"/>
    <cellStyle name="Примечание 6 42" xfId="15672"/>
    <cellStyle name="Примечание 6 43" xfId="15673"/>
    <cellStyle name="Примечание 6 44" xfId="15674"/>
    <cellStyle name="Примечание 6 5" xfId="15675"/>
    <cellStyle name="Примечание 6 5 2" xfId="15676"/>
    <cellStyle name="Примечание 6 5 2 2" xfId="15677"/>
    <cellStyle name="Примечание 6 5 2 3" xfId="15678"/>
    <cellStyle name="Примечание 6 5 2 4" xfId="15679"/>
    <cellStyle name="Примечание 6 5 3" xfId="15680"/>
    <cellStyle name="Примечание 6 5 4" xfId="15681"/>
    <cellStyle name="Примечание 6 5 5" xfId="15682"/>
    <cellStyle name="Примечание 6 6" xfId="15683"/>
    <cellStyle name="Примечание 6 6 2" xfId="15684"/>
    <cellStyle name="Примечание 6 6 2 2" xfId="15685"/>
    <cellStyle name="Примечание 6 6 2 3" xfId="15686"/>
    <cellStyle name="Примечание 6 6 2 4" xfId="15687"/>
    <cellStyle name="Примечание 6 6 3" xfId="15688"/>
    <cellStyle name="Примечание 6 6 4" xfId="15689"/>
    <cellStyle name="Примечание 6 6 5" xfId="15690"/>
    <cellStyle name="Примечание 6 7" xfId="15691"/>
    <cellStyle name="Примечание 6 7 2" xfId="15692"/>
    <cellStyle name="Примечание 6 7 3" xfId="15693"/>
    <cellStyle name="Примечание 6 7 4" xfId="15694"/>
    <cellStyle name="Примечание 6 8" xfId="15695"/>
    <cellStyle name="Примечание 6 9" xfId="15696"/>
    <cellStyle name="Примечание 6_46EE.2011(v1.0)" xfId="15697"/>
    <cellStyle name="Примечание 60" xfId="15698"/>
    <cellStyle name="Примечание 60 2" xfId="15699"/>
    <cellStyle name="Примечание 60 3" xfId="15700"/>
    <cellStyle name="Примечание 61" xfId="15701"/>
    <cellStyle name="Примечание 61 2" xfId="15702"/>
    <cellStyle name="Примечание 61 3" xfId="15703"/>
    <cellStyle name="Примечание 62" xfId="15704"/>
    <cellStyle name="Примечание 62 2" xfId="15705"/>
    <cellStyle name="Примечание 62 3" xfId="15706"/>
    <cellStyle name="Примечание 63" xfId="15707"/>
    <cellStyle name="Примечание 63 2" xfId="15708"/>
    <cellStyle name="Примечание 63 3" xfId="15709"/>
    <cellStyle name="Примечание 64" xfId="15710"/>
    <cellStyle name="Примечание 64 2" xfId="15711"/>
    <cellStyle name="Примечание 64 3" xfId="15712"/>
    <cellStyle name="Примечание 65" xfId="15713"/>
    <cellStyle name="Примечание 65 2" xfId="15714"/>
    <cellStyle name="Примечание 65 3" xfId="15715"/>
    <cellStyle name="Примечание 66" xfId="15716"/>
    <cellStyle name="Примечание 66 2" xfId="15717"/>
    <cellStyle name="Примечание 66 3" xfId="15718"/>
    <cellStyle name="Примечание 67" xfId="15719"/>
    <cellStyle name="Примечание 67 2" xfId="15720"/>
    <cellStyle name="Примечание 67 3" xfId="15721"/>
    <cellStyle name="Примечание 68" xfId="15722"/>
    <cellStyle name="Примечание 68 2" xfId="15723"/>
    <cellStyle name="Примечание 68 3" xfId="15724"/>
    <cellStyle name="Примечание 69" xfId="15725"/>
    <cellStyle name="Примечание 69 2" xfId="15726"/>
    <cellStyle name="Примечание 69 3" xfId="15727"/>
    <cellStyle name="Примечание 7" xfId="15728"/>
    <cellStyle name="Примечание 7 10" xfId="15729"/>
    <cellStyle name="Примечание 7 11" xfId="15730"/>
    <cellStyle name="Примечание 7 12" xfId="15731"/>
    <cellStyle name="Примечание 7 13" xfId="15732"/>
    <cellStyle name="Примечание 7 14" xfId="15733"/>
    <cellStyle name="Примечание 7 15" xfId="15734"/>
    <cellStyle name="Примечание 7 16" xfId="15735"/>
    <cellStyle name="Примечание 7 17" xfId="15736"/>
    <cellStyle name="Примечание 7 18" xfId="15737"/>
    <cellStyle name="Примечание 7 19" xfId="15738"/>
    <cellStyle name="Примечание 7 2" xfId="15739"/>
    <cellStyle name="Примечание 7 2 2" xfId="15740"/>
    <cellStyle name="Примечание 7 2 2 2" xfId="15741"/>
    <cellStyle name="Примечание 7 2 2 2 2" xfId="15742"/>
    <cellStyle name="Примечание 7 2 2 2 3" xfId="15743"/>
    <cellStyle name="Примечание 7 2 2 2 4" xfId="15744"/>
    <cellStyle name="Примечание 7 2 2 3" xfId="15745"/>
    <cellStyle name="Примечание 7 2 2 4" xfId="15746"/>
    <cellStyle name="Примечание 7 2 2 5" xfId="15747"/>
    <cellStyle name="Примечание 7 2 3" xfId="15748"/>
    <cellStyle name="Примечание 7 2 3 2" xfId="15749"/>
    <cellStyle name="Примечание 7 2 3 2 2" xfId="15750"/>
    <cellStyle name="Примечание 7 2 3 2 3" xfId="15751"/>
    <cellStyle name="Примечание 7 2 3 2 4" xfId="15752"/>
    <cellStyle name="Примечание 7 2 3 3" xfId="15753"/>
    <cellStyle name="Примечание 7 2 3 4" xfId="15754"/>
    <cellStyle name="Примечание 7 2 3 5" xfId="15755"/>
    <cellStyle name="Примечание 7 2 4" xfId="15756"/>
    <cellStyle name="Примечание 7 2 4 2" xfId="15757"/>
    <cellStyle name="Примечание 7 2 4 2 2" xfId="15758"/>
    <cellStyle name="Примечание 7 2 4 2 3" xfId="15759"/>
    <cellStyle name="Примечание 7 2 4 2 4" xfId="15760"/>
    <cellStyle name="Примечание 7 2 4 3" xfId="15761"/>
    <cellStyle name="Примечание 7 2 4 4" xfId="15762"/>
    <cellStyle name="Примечание 7 2 4 5" xfId="15763"/>
    <cellStyle name="Примечание 7 2 5" xfId="15764"/>
    <cellStyle name="Примечание 7 2 5 2" xfId="15765"/>
    <cellStyle name="Примечание 7 2 5 2 2" xfId="15766"/>
    <cellStyle name="Примечание 7 2 5 2 3" xfId="15767"/>
    <cellStyle name="Примечание 7 2 5 2 4" xfId="15768"/>
    <cellStyle name="Примечание 7 2 5 3" xfId="15769"/>
    <cellStyle name="Примечание 7 2 5 4" xfId="15770"/>
    <cellStyle name="Примечание 7 2 5 5" xfId="15771"/>
    <cellStyle name="Примечание 7 2 6" xfId="15772"/>
    <cellStyle name="Примечание 7 2 6 2" xfId="15773"/>
    <cellStyle name="Примечание 7 2 6 3" xfId="15774"/>
    <cellStyle name="Примечание 7 2 6 4" xfId="15775"/>
    <cellStyle name="Примечание 7 2 7" xfId="15776"/>
    <cellStyle name="Примечание 7 2 8" xfId="15777"/>
    <cellStyle name="Примечание 7 2 9" xfId="15778"/>
    <cellStyle name="Примечание 7 20" xfId="15779"/>
    <cellStyle name="Примечание 7 21" xfId="15780"/>
    <cellStyle name="Примечание 7 22" xfId="15781"/>
    <cellStyle name="Примечание 7 23" xfId="15782"/>
    <cellStyle name="Примечание 7 24" xfId="15783"/>
    <cellStyle name="Примечание 7 25" xfId="15784"/>
    <cellStyle name="Примечание 7 26" xfId="15785"/>
    <cellStyle name="Примечание 7 27" xfId="15786"/>
    <cellStyle name="Примечание 7 28" xfId="15787"/>
    <cellStyle name="Примечание 7 29" xfId="15788"/>
    <cellStyle name="Примечание 7 3" xfId="15789"/>
    <cellStyle name="Примечание 7 3 2" xfId="15790"/>
    <cellStyle name="Примечание 7 3 2 2" xfId="15791"/>
    <cellStyle name="Примечание 7 3 2 3" xfId="15792"/>
    <cellStyle name="Примечание 7 3 2 4" xfId="15793"/>
    <cellStyle name="Примечание 7 3 3" xfId="15794"/>
    <cellStyle name="Примечание 7 3 4" xfId="15795"/>
    <cellStyle name="Примечание 7 3 5" xfId="15796"/>
    <cellStyle name="Примечание 7 30" xfId="15797"/>
    <cellStyle name="Примечание 7 31" xfId="15798"/>
    <cellStyle name="Примечание 7 32" xfId="15799"/>
    <cellStyle name="Примечание 7 33" xfId="15800"/>
    <cellStyle name="Примечание 7 34" xfId="15801"/>
    <cellStyle name="Примечание 7 35" xfId="15802"/>
    <cellStyle name="Примечание 7 36" xfId="15803"/>
    <cellStyle name="Примечание 7 37" xfId="15804"/>
    <cellStyle name="Примечание 7 38" xfId="15805"/>
    <cellStyle name="Примечание 7 39" xfId="15806"/>
    <cellStyle name="Примечание 7 4" xfId="15807"/>
    <cellStyle name="Примечание 7 4 2" xfId="15808"/>
    <cellStyle name="Примечание 7 4 2 2" xfId="15809"/>
    <cellStyle name="Примечание 7 4 2 3" xfId="15810"/>
    <cellStyle name="Примечание 7 4 2 4" xfId="15811"/>
    <cellStyle name="Примечание 7 4 3" xfId="15812"/>
    <cellStyle name="Примечание 7 4 4" xfId="15813"/>
    <cellStyle name="Примечание 7 4 5" xfId="15814"/>
    <cellStyle name="Примечание 7 40" xfId="15815"/>
    <cellStyle name="Примечание 7 41" xfId="15816"/>
    <cellStyle name="Примечание 7 42" xfId="15817"/>
    <cellStyle name="Примечание 7 43" xfId="15818"/>
    <cellStyle name="Примечание 7 44" xfId="15819"/>
    <cellStyle name="Примечание 7 5" xfId="15820"/>
    <cellStyle name="Примечание 7 5 2" xfId="15821"/>
    <cellStyle name="Примечание 7 5 2 2" xfId="15822"/>
    <cellStyle name="Примечание 7 5 2 3" xfId="15823"/>
    <cellStyle name="Примечание 7 5 2 4" xfId="15824"/>
    <cellStyle name="Примечание 7 5 3" xfId="15825"/>
    <cellStyle name="Примечание 7 5 4" xfId="15826"/>
    <cellStyle name="Примечание 7 5 5" xfId="15827"/>
    <cellStyle name="Примечание 7 6" xfId="15828"/>
    <cellStyle name="Примечание 7 6 2" xfId="15829"/>
    <cellStyle name="Примечание 7 6 2 2" xfId="15830"/>
    <cellStyle name="Примечание 7 6 2 3" xfId="15831"/>
    <cellStyle name="Примечание 7 6 2 4" xfId="15832"/>
    <cellStyle name="Примечание 7 6 3" xfId="15833"/>
    <cellStyle name="Примечание 7 6 4" xfId="15834"/>
    <cellStyle name="Примечание 7 6 5" xfId="15835"/>
    <cellStyle name="Примечание 7 7" xfId="15836"/>
    <cellStyle name="Примечание 7 7 2" xfId="15837"/>
    <cellStyle name="Примечание 7 7 3" xfId="15838"/>
    <cellStyle name="Примечание 7 7 4" xfId="15839"/>
    <cellStyle name="Примечание 7 8" xfId="15840"/>
    <cellStyle name="Примечание 7 9" xfId="15841"/>
    <cellStyle name="Примечание 7_46EE.2011(v1.0)" xfId="15842"/>
    <cellStyle name="Примечание 70" xfId="15843"/>
    <cellStyle name="Примечание 70 2" xfId="15844"/>
    <cellStyle name="Примечание 70 3" xfId="15845"/>
    <cellStyle name="Примечание 71" xfId="15846"/>
    <cellStyle name="Примечание 71 2" xfId="15847"/>
    <cellStyle name="Примечание 71 3" xfId="15848"/>
    <cellStyle name="Примечание 72" xfId="15849"/>
    <cellStyle name="Примечание 72 2" xfId="15850"/>
    <cellStyle name="Примечание 72 3" xfId="15851"/>
    <cellStyle name="Примечание 73" xfId="15852"/>
    <cellStyle name="Примечание 73 2" xfId="15853"/>
    <cellStyle name="Примечание 73 3" xfId="15854"/>
    <cellStyle name="Примечание 74" xfId="15855"/>
    <cellStyle name="Примечание 74 2" xfId="15856"/>
    <cellStyle name="Примечание 74 3" xfId="15857"/>
    <cellStyle name="Примечание 75" xfId="15858"/>
    <cellStyle name="Примечание 75 2" xfId="15859"/>
    <cellStyle name="Примечание 75 3" xfId="15860"/>
    <cellStyle name="Примечание 76" xfId="15861"/>
    <cellStyle name="Примечание 76 2" xfId="15862"/>
    <cellStyle name="Примечание 76 3" xfId="15863"/>
    <cellStyle name="Примечание 77" xfId="15864"/>
    <cellStyle name="Примечание 77 2" xfId="15865"/>
    <cellStyle name="Примечание 77 3" xfId="15866"/>
    <cellStyle name="Примечание 78" xfId="15867"/>
    <cellStyle name="Примечание 78 2" xfId="15868"/>
    <cellStyle name="Примечание 78 3" xfId="15869"/>
    <cellStyle name="Примечание 79" xfId="15870"/>
    <cellStyle name="Примечание 79 2" xfId="15871"/>
    <cellStyle name="Примечание 79 3" xfId="15872"/>
    <cellStyle name="Примечание 8" xfId="15873"/>
    <cellStyle name="Примечание 8 10" xfId="15874"/>
    <cellStyle name="Примечание 8 2" xfId="15875"/>
    <cellStyle name="Примечание 8 2 2" xfId="15876"/>
    <cellStyle name="Примечание 8 2 2 2" xfId="15877"/>
    <cellStyle name="Примечание 8 2 2 2 2" xfId="15878"/>
    <cellStyle name="Примечание 8 2 2 2 3" xfId="15879"/>
    <cellStyle name="Примечание 8 2 2 2 4" xfId="15880"/>
    <cellStyle name="Примечание 8 2 2 3" xfId="15881"/>
    <cellStyle name="Примечание 8 2 2 4" xfId="15882"/>
    <cellStyle name="Примечание 8 2 2 5" xfId="15883"/>
    <cellStyle name="Примечание 8 2 3" xfId="15884"/>
    <cellStyle name="Примечание 8 2 3 2" xfId="15885"/>
    <cellStyle name="Примечание 8 2 3 2 2" xfId="15886"/>
    <cellStyle name="Примечание 8 2 3 2 3" xfId="15887"/>
    <cellStyle name="Примечание 8 2 3 2 4" xfId="15888"/>
    <cellStyle name="Примечание 8 2 3 3" xfId="15889"/>
    <cellStyle name="Примечание 8 2 3 4" xfId="15890"/>
    <cellStyle name="Примечание 8 2 3 5" xfId="15891"/>
    <cellStyle name="Примечание 8 2 4" xfId="15892"/>
    <cellStyle name="Примечание 8 2 4 2" xfId="15893"/>
    <cellStyle name="Примечание 8 2 4 2 2" xfId="15894"/>
    <cellStyle name="Примечание 8 2 4 2 3" xfId="15895"/>
    <cellStyle name="Примечание 8 2 4 2 4" xfId="15896"/>
    <cellStyle name="Примечание 8 2 4 3" xfId="15897"/>
    <cellStyle name="Примечание 8 2 4 4" xfId="15898"/>
    <cellStyle name="Примечание 8 2 4 5" xfId="15899"/>
    <cellStyle name="Примечание 8 2 5" xfId="15900"/>
    <cellStyle name="Примечание 8 2 5 2" xfId="15901"/>
    <cellStyle name="Примечание 8 2 5 2 2" xfId="15902"/>
    <cellStyle name="Примечание 8 2 5 2 3" xfId="15903"/>
    <cellStyle name="Примечание 8 2 5 2 4" xfId="15904"/>
    <cellStyle name="Примечание 8 2 5 3" xfId="15905"/>
    <cellStyle name="Примечание 8 2 5 4" xfId="15906"/>
    <cellStyle name="Примечание 8 2 5 5" xfId="15907"/>
    <cellStyle name="Примечание 8 2 6" xfId="15908"/>
    <cellStyle name="Примечание 8 2 6 2" xfId="15909"/>
    <cellStyle name="Примечание 8 2 6 3" xfId="15910"/>
    <cellStyle name="Примечание 8 2 6 4" xfId="15911"/>
    <cellStyle name="Примечание 8 2 7" xfId="15912"/>
    <cellStyle name="Примечание 8 2 8" xfId="15913"/>
    <cellStyle name="Примечание 8 2 9" xfId="15914"/>
    <cellStyle name="Примечание 8 3" xfId="15915"/>
    <cellStyle name="Примечание 8 3 2" xfId="15916"/>
    <cellStyle name="Примечание 8 3 2 2" xfId="15917"/>
    <cellStyle name="Примечание 8 3 2 3" xfId="15918"/>
    <cellStyle name="Примечание 8 3 2 4" xfId="15919"/>
    <cellStyle name="Примечание 8 3 3" xfId="15920"/>
    <cellStyle name="Примечание 8 3 4" xfId="15921"/>
    <cellStyle name="Примечание 8 3 5" xfId="15922"/>
    <cellStyle name="Примечание 8 4" xfId="15923"/>
    <cellStyle name="Примечание 8 4 2" xfId="15924"/>
    <cellStyle name="Примечание 8 4 2 2" xfId="15925"/>
    <cellStyle name="Примечание 8 4 2 3" xfId="15926"/>
    <cellStyle name="Примечание 8 4 2 4" xfId="15927"/>
    <cellStyle name="Примечание 8 4 3" xfId="15928"/>
    <cellStyle name="Примечание 8 4 4" xfId="15929"/>
    <cellStyle name="Примечание 8 4 5" xfId="15930"/>
    <cellStyle name="Примечание 8 5" xfId="15931"/>
    <cellStyle name="Примечание 8 5 2" xfId="15932"/>
    <cellStyle name="Примечание 8 5 2 2" xfId="15933"/>
    <cellStyle name="Примечание 8 5 2 3" xfId="15934"/>
    <cellStyle name="Примечание 8 5 2 4" xfId="15935"/>
    <cellStyle name="Примечание 8 5 3" xfId="15936"/>
    <cellStyle name="Примечание 8 5 4" xfId="15937"/>
    <cellStyle name="Примечание 8 5 5" xfId="15938"/>
    <cellStyle name="Примечание 8 6" xfId="15939"/>
    <cellStyle name="Примечание 8 6 2" xfId="15940"/>
    <cellStyle name="Примечание 8 6 2 2" xfId="15941"/>
    <cellStyle name="Примечание 8 6 2 3" xfId="15942"/>
    <cellStyle name="Примечание 8 6 2 4" xfId="15943"/>
    <cellStyle name="Примечание 8 6 3" xfId="15944"/>
    <cellStyle name="Примечание 8 6 4" xfId="15945"/>
    <cellStyle name="Примечание 8 6 5" xfId="15946"/>
    <cellStyle name="Примечание 8 7" xfId="15947"/>
    <cellStyle name="Примечание 8 7 2" xfId="15948"/>
    <cellStyle name="Примечание 8 7 3" xfId="15949"/>
    <cellStyle name="Примечание 8 7 4" xfId="15950"/>
    <cellStyle name="Примечание 8 8" xfId="15951"/>
    <cellStyle name="Примечание 8 9" xfId="15952"/>
    <cellStyle name="Примечание 8_46EE.2011(v1.0)" xfId="15953"/>
    <cellStyle name="Примечание 80" xfId="15954"/>
    <cellStyle name="Примечание 80 2" xfId="15955"/>
    <cellStyle name="Примечание 80 3" xfId="15956"/>
    <cellStyle name="Примечание 81" xfId="15957"/>
    <cellStyle name="Примечание 81 2" xfId="15958"/>
    <cellStyle name="Примечание 81 3" xfId="15959"/>
    <cellStyle name="Примечание 82" xfId="15960"/>
    <cellStyle name="Примечание 83" xfId="15961"/>
    <cellStyle name="Примечание 83 2" xfId="15962"/>
    <cellStyle name="Примечание 84" xfId="15963"/>
    <cellStyle name="Примечание 9" xfId="15964"/>
    <cellStyle name="Примечание 9 10" xfId="15965"/>
    <cellStyle name="Примечание 9 2" xfId="15966"/>
    <cellStyle name="Примечание 9 2 2" xfId="15967"/>
    <cellStyle name="Примечание 9 2 2 2" xfId="15968"/>
    <cellStyle name="Примечание 9 2 2 2 2" xfId="15969"/>
    <cellStyle name="Примечание 9 2 2 2 3" xfId="15970"/>
    <cellStyle name="Примечание 9 2 2 2 4" xfId="15971"/>
    <cellStyle name="Примечание 9 2 2 3" xfId="15972"/>
    <cellStyle name="Примечание 9 2 2 4" xfId="15973"/>
    <cellStyle name="Примечание 9 2 2 5" xfId="15974"/>
    <cellStyle name="Примечание 9 2 3" xfId="15975"/>
    <cellStyle name="Примечание 9 2 3 2" xfId="15976"/>
    <cellStyle name="Примечание 9 2 3 2 2" xfId="15977"/>
    <cellStyle name="Примечание 9 2 3 2 3" xfId="15978"/>
    <cellStyle name="Примечание 9 2 3 2 4" xfId="15979"/>
    <cellStyle name="Примечание 9 2 3 3" xfId="15980"/>
    <cellStyle name="Примечание 9 2 3 4" xfId="15981"/>
    <cellStyle name="Примечание 9 2 3 5" xfId="15982"/>
    <cellStyle name="Примечание 9 2 4" xfId="15983"/>
    <cellStyle name="Примечание 9 2 4 2" xfId="15984"/>
    <cellStyle name="Примечание 9 2 4 2 2" xfId="15985"/>
    <cellStyle name="Примечание 9 2 4 2 3" xfId="15986"/>
    <cellStyle name="Примечание 9 2 4 2 4" xfId="15987"/>
    <cellStyle name="Примечание 9 2 4 3" xfId="15988"/>
    <cellStyle name="Примечание 9 2 4 4" xfId="15989"/>
    <cellStyle name="Примечание 9 2 4 5" xfId="15990"/>
    <cellStyle name="Примечание 9 2 5" xfId="15991"/>
    <cellStyle name="Примечание 9 2 5 2" xfId="15992"/>
    <cellStyle name="Примечание 9 2 5 2 2" xfId="15993"/>
    <cellStyle name="Примечание 9 2 5 2 3" xfId="15994"/>
    <cellStyle name="Примечание 9 2 5 2 4" xfId="15995"/>
    <cellStyle name="Примечание 9 2 5 3" xfId="15996"/>
    <cellStyle name="Примечание 9 2 5 4" xfId="15997"/>
    <cellStyle name="Примечание 9 2 5 5" xfId="15998"/>
    <cellStyle name="Примечание 9 2 6" xfId="15999"/>
    <cellStyle name="Примечание 9 2 6 2" xfId="16000"/>
    <cellStyle name="Примечание 9 2 6 3" xfId="16001"/>
    <cellStyle name="Примечание 9 2 6 4" xfId="16002"/>
    <cellStyle name="Примечание 9 2 7" xfId="16003"/>
    <cellStyle name="Примечание 9 2 8" xfId="16004"/>
    <cellStyle name="Примечание 9 2 9" xfId="16005"/>
    <cellStyle name="Примечание 9 3" xfId="16006"/>
    <cellStyle name="Примечание 9 3 2" xfId="16007"/>
    <cellStyle name="Примечание 9 3 2 2" xfId="16008"/>
    <cellStyle name="Примечание 9 3 2 3" xfId="16009"/>
    <cellStyle name="Примечание 9 3 2 4" xfId="16010"/>
    <cellStyle name="Примечание 9 3 3" xfId="16011"/>
    <cellStyle name="Примечание 9 3 4" xfId="16012"/>
    <cellStyle name="Примечание 9 3 5" xfId="16013"/>
    <cellStyle name="Примечание 9 4" xfId="16014"/>
    <cellStyle name="Примечание 9 4 2" xfId="16015"/>
    <cellStyle name="Примечание 9 4 2 2" xfId="16016"/>
    <cellStyle name="Примечание 9 4 2 3" xfId="16017"/>
    <cellStyle name="Примечание 9 4 2 4" xfId="16018"/>
    <cellStyle name="Примечание 9 4 3" xfId="16019"/>
    <cellStyle name="Примечание 9 4 4" xfId="16020"/>
    <cellStyle name="Примечание 9 4 5" xfId="16021"/>
    <cellStyle name="Примечание 9 5" xfId="16022"/>
    <cellStyle name="Примечание 9 5 2" xfId="16023"/>
    <cellStyle name="Примечание 9 5 2 2" xfId="16024"/>
    <cellStyle name="Примечание 9 5 2 3" xfId="16025"/>
    <cellStyle name="Примечание 9 5 2 4" xfId="16026"/>
    <cellStyle name="Примечание 9 5 3" xfId="16027"/>
    <cellStyle name="Примечание 9 5 4" xfId="16028"/>
    <cellStyle name="Примечание 9 5 5" xfId="16029"/>
    <cellStyle name="Примечание 9 6" xfId="16030"/>
    <cellStyle name="Примечание 9 6 2" xfId="16031"/>
    <cellStyle name="Примечание 9 6 2 2" xfId="16032"/>
    <cellStyle name="Примечание 9 6 2 3" xfId="16033"/>
    <cellStyle name="Примечание 9 6 2 4" xfId="16034"/>
    <cellStyle name="Примечание 9 6 3" xfId="16035"/>
    <cellStyle name="Примечание 9 6 4" xfId="16036"/>
    <cellStyle name="Примечание 9 6 5" xfId="16037"/>
    <cellStyle name="Примечание 9 7" xfId="16038"/>
    <cellStyle name="Примечание 9 7 2" xfId="16039"/>
    <cellStyle name="Примечание 9 7 3" xfId="16040"/>
    <cellStyle name="Примечание 9 7 4" xfId="16041"/>
    <cellStyle name="Примечание 9 8" xfId="16042"/>
    <cellStyle name="Примечание 9 9" xfId="16043"/>
    <cellStyle name="Примечание 9_46EE.2011(v1.0)" xfId="16044"/>
    <cellStyle name="Проверка" xfId="16045"/>
    <cellStyle name="Продукт" xfId="16046"/>
    <cellStyle name="Процентный" xfId="16845" builtinId="5"/>
    <cellStyle name="Процентный 10" xfId="16047"/>
    <cellStyle name="Процентный 11" xfId="16048"/>
    <cellStyle name="Процентный 2" xfId="16049"/>
    <cellStyle name="Процентный 2 10" xfId="16050"/>
    <cellStyle name="Процентный 2 11" xfId="16051"/>
    <cellStyle name="Процентный 2 12" xfId="16052"/>
    <cellStyle name="Процентный 2 2" xfId="16053"/>
    <cellStyle name="Процентный 2 2 2" xfId="16054"/>
    <cellStyle name="Процентный 2 2 3" xfId="16055"/>
    <cellStyle name="Процентный 2 2 4" xfId="16056"/>
    <cellStyle name="Процентный 2 3" xfId="3"/>
    <cellStyle name="Процентный 2 3 2" xfId="16057"/>
    <cellStyle name="Процентный 2 3 3" xfId="16058"/>
    <cellStyle name="Процентный 2 3 4" xfId="16059"/>
    <cellStyle name="Процентный 2 4" xfId="16060"/>
    <cellStyle name="Процентный 2 5" xfId="16061"/>
    <cellStyle name="Процентный 2 6" xfId="16062"/>
    <cellStyle name="Процентный 2 7" xfId="16063"/>
    <cellStyle name="Процентный 2 8" xfId="16064"/>
    <cellStyle name="Процентный 2 9" xfId="16065"/>
    <cellStyle name="Процентный 3" xfId="16066"/>
    <cellStyle name="Процентный 3 2" xfId="16067"/>
    <cellStyle name="Процентный 3 2 2" xfId="16068"/>
    <cellStyle name="Процентный 3 2 3" xfId="16069"/>
    <cellStyle name="Процентный 3 3" xfId="16070"/>
    <cellStyle name="Процентный 3 3 2" xfId="16071"/>
    <cellStyle name="Процентный 3 4" xfId="16072"/>
    <cellStyle name="Процентный 3 5" xfId="16073"/>
    <cellStyle name="Процентный 3 5 2" xfId="16074"/>
    <cellStyle name="Процентный 3 6" xfId="16075"/>
    <cellStyle name="Процентный 4" xfId="16076"/>
    <cellStyle name="Процентный 4 2" xfId="16077"/>
    <cellStyle name="Процентный 4 3" xfId="16078"/>
    <cellStyle name="Процентный 4 4" xfId="16079"/>
    <cellStyle name="Процентный 4 5" xfId="16080"/>
    <cellStyle name="Процентный 5" xfId="16081"/>
    <cellStyle name="Процентный 5 2" xfId="16082"/>
    <cellStyle name="Процентный 5 2 2" xfId="16083"/>
    <cellStyle name="Процентный 5 2 3" xfId="16084"/>
    <cellStyle name="Процентный 5 3" xfId="16085"/>
    <cellStyle name="Процентный 5 4" xfId="16086"/>
    <cellStyle name="Процентный 5 5" xfId="16087"/>
    <cellStyle name="Процентный 5 6" xfId="16088"/>
    <cellStyle name="Процентный 6" xfId="16089"/>
    <cellStyle name="Процентный 6 2" xfId="16090"/>
    <cellStyle name="Процентный 7" xfId="16091"/>
    <cellStyle name="Процентный 7 2" xfId="16092"/>
    <cellStyle name="Процентный 8" xfId="16093"/>
    <cellStyle name="Процентный 9" xfId="16094"/>
    <cellStyle name="Разница" xfId="16095"/>
    <cellStyle name="Разница 2" xfId="16096"/>
    <cellStyle name="Разница 2 2" xfId="16097"/>
    <cellStyle name="Разница 2 2 2" xfId="16098"/>
    <cellStyle name="Разница 2 2 3" xfId="16099"/>
    <cellStyle name="Разница 2 2 4" xfId="16100"/>
    <cellStyle name="Разница 2 3" xfId="16101"/>
    <cellStyle name="Разница 2 4" xfId="16102"/>
    <cellStyle name="Разница 2 5" xfId="16103"/>
    <cellStyle name="Разница 3" xfId="16104"/>
    <cellStyle name="Разница 3 2" xfId="16105"/>
    <cellStyle name="Разница 3 2 2" xfId="16106"/>
    <cellStyle name="Разница 3 2 3" xfId="16107"/>
    <cellStyle name="Разница 3 2 4" xfId="16108"/>
    <cellStyle name="Разница 3 3" xfId="16109"/>
    <cellStyle name="Разница 3 4" xfId="16110"/>
    <cellStyle name="Разница 3 5" xfId="16111"/>
    <cellStyle name="Разница 4" xfId="16112"/>
    <cellStyle name="Разница 4 2" xfId="16113"/>
    <cellStyle name="Разница 4 2 2" xfId="16114"/>
    <cellStyle name="Разница 4 2 3" xfId="16115"/>
    <cellStyle name="Разница 4 2 4" xfId="16116"/>
    <cellStyle name="Разница 4 3" xfId="16117"/>
    <cellStyle name="Разница 4 4" xfId="16118"/>
    <cellStyle name="Разница 4 5" xfId="16119"/>
    <cellStyle name="Разница 5" xfId="16120"/>
    <cellStyle name="Разница 5 2" xfId="16121"/>
    <cellStyle name="Разница 5 3" xfId="16122"/>
    <cellStyle name="Разница 5 4" xfId="16123"/>
    <cellStyle name="Разница 6" xfId="16124"/>
    <cellStyle name="Разница 7" xfId="16125"/>
    <cellStyle name="Разница 8" xfId="16126"/>
    <cellStyle name="Рамки" xfId="16127"/>
    <cellStyle name="Рамки 2" xfId="16128"/>
    <cellStyle name="Рамки 2 2" xfId="16129"/>
    <cellStyle name="Рамки 2 2 2" xfId="16130"/>
    <cellStyle name="Рамки 2 2 3" xfId="16131"/>
    <cellStyle name="Рамки 2 2 4" xfId="16132"/>
    <cellStyle name="Рамки 2 3" xfId="16133"/>
    <cellStyle name="Рамки 2 4" xfId="16134"/>
    <cellStyle name="Рамки 2 5" xfId="16135"/>
    <cellStyle name="Рамки 3" xfId="16136"/>
    <cellStyle name="Рамки 3 2" xfId="16137"/>
    <cellStyle name="Рамки 3 2 2" xfId="16138"/>
    <cellStyle name="Рамки 3 2 3" xfId="16139"/>
    <cellStyle name="Рамки 3 2 4" xfId="16140"/>
    <cellStyle name="Рамки 3 3" xfId="16141"/>
    <cellStyle name="Рамки 3 4" xfId="16142"/>
    <cellStyle name="Рамки 3 5" xfId="16143"/>
    <cellStyle name="Рамки 4" xfId="16144"/>
    <cellStyle name="Рамки 4 2" xfId="16145"/>
    <cellStyle name="Рамки 4 2 2" xfId="16146"/>
    <cellStyle name="Рамки 4 2 3" xfId="16147"/>
    <cellStyle name="Рамки 4 2 4" xfId="16148"/>
    <cellStyle name="Рамки 4 3" xfId="16149"/>
    <cellStyle name="Рамки 4 4" xfId="16150"/>
    <cellStyle name="Рамки 4 5" xfId="16151"/>
    <cellStyle name="Рамки 5" xfId="16152"/>
    <cellStyle name="Рамки 5 2" xfId="16153"/>
    <cellStyle name="Рамки 5 3" xfId="16154"/>
    <cellStyle name="Рамки 5 4" xfId="16155"/>
    <cellStyle name="Рамки 6" xfId="16156"/>
    <cellStyle name="Рамки 7" xfId="16157"/>
    <cellStyle name="Рамки 8" xfId="16158"/>
    <cellStyle name="Сводная" xfId="16159"/>
    <cellStyle name="Сводная 10" xfId="16160"/>
    <cellStyle name="Сводная 11" xfId="16161"/>
    <cellStyle name="Сводная 12" xfId="16162"/>
    <cellStyle name="Сводная 13" xfId="16163"/>
    <cellStyle name="Сводная 14" xfId="16164"/>
    <cellStyle name="Сводная 15" xfId="16165"/>
    <cellStyle name="Сводная 16" xfId="16166"/>
    <cellStyle name="Сводная 17" xfId="16167"/>
    <cellStyle name="Сводная 18" xfId="16168"/>
    <cellStyle name="Сводная 19" xfId="16169"/>
    <cellStyle name="Сводная 2" xfId="16170"/>
    <cellStyle name="Сводная 20" xfId="16171"/>
    <cellStyle name="Сводная 21" xfId="16172"/>
    <cellStyle name="Сводная 22" xfId="16173"/>
    <cellStyle name="Сводная 23" xfId="16174"/>
    <cellStyle name="Сводная 24" xfId="16175"/>
    <cellStyle name="Сводная 25" xfId="16176"/>
    <cellStyle name="Сводная 26" xfId="16177"/>
    <cellStyle name="Сводная 27" xfId="16178"/>
    <cellStyle name="Сводная 28" xfId="16179"/>
    <cellStyle name="Сводная 29" xfId="16180"/>
    <cellStyle name="Сводная 3" xfId="16181"/>
    <cellStyle name="Сводная 30" xfId="16182"/>
    <cellStyle name="Сводная 31" xfId="16183"/>
    <cellStyle name="Сводная 32" xfId="16184"/>
    <cellStyle name="Сводная 33" xfId="16185"/>
    <cellStyle name="Сводная 34" xfId="16186"/>
    <cellStyle name="Сводная 35" xfId="16187"/>
    <cellStyle name="Сводная 36" xfId="16188"/>
    <cellStyle name="Сводная 37" xfId="16189"/>
    <cellStyle name="Сводная 38" xfId="16190"/>
    <cellStyle name="Сводная 39" xfId="16191"/>
    <cellStyle name="Сводная 4" xfId="16192"/>
    <cellStyle name="Сводная 40" xfId="16193"/>
    <cellStyle name="Сводная 41" xfId="16194"/>
    <cellStyle name="Сводная 42" xfId="16195"/>
    <cellStyle name="Сводная 43" xfId="16196"/>
    <cellStyle name="Сводная 44" xfId="16197"/>
    <cellStyle name="Сводная 5" xfId="16198"/>
    <cellStyle name="Сводная 6" xfId="16199"/>
    <cellStyle name="Сводная 7" xfId="16200"/>
    <cellStyle name="Сводная 8" xfId="16201"/>
    <cellStyle name="Сводная 9" xfId="16202"/>
    <cellStyle name="Сводная таблица" xfId="16203"/>
    <cellStyle name="Связанная ячейка 10" xfId="16204"/>
    <cellStyle name="Связанная ячейка 2" xfId="16205"/>
    <cellStyle name="Связанная ячейка 2 2" xfId="16206"/>
    <cellStyle name="Связанная ячейка 2_46EE.2011(v1.0)" xfId="16207"/>
    <cellStyle name="Связанная ячейка 3" xfId="16208"/>
    <cellStyle name="Связанная ячейка 3 2" xfId="16209"/>
    <cellStyle name="Связанная ячейка 3_46EE.2011(v1.0)" xfId="16210"/>
    <cellStyle name="Связанная ячейка 4" xfId="16211"/>
    <cellStyle name="Связанная ячейка 4 2" xfId="16212"/>
    <cellStyle name="Связанная ячейка 4_46EE.2011(v1.0)" xfId="16213"/>
    <cellStyle name="Связанная ячейка 5" xfId="16214"/>
    <cellStyle name="Связанная ячейка 5 2" xfId="16215"/>
    <cellStyle name="Связанная ячейка 5_46EE.2011(v1.0)" xfId="16216"/>
    <cellStyle name="Связанная ячейка 6" xfId="16217"/>
    <cellStyle name="Связанная ячейка 6 2" xfId="16218"/>
    <cellStyle name="Связанная ячейка 6_46EE.2011(v1.0)" xfId="16219"/>
    <cellStyle name="Связанная ячейка 7" xfId="16220"/>
    <cellStyle name="Связанная ячейка 7 2" xfId="16221"/>
    <cellStyle name="Связанная ячейка 7_46EE.2011(v1.0)" xfId="16222"/>
    <cellStyle name="Связанная ячейка 8" xfId="16223"/>
    <cellStyle name="Связанная ячейка 8 2" xfId="16224"/>
    <cellStyle name="Связанная ячейка 8_46EE.2011(v1.0)" xfId="16225"/>
    <cellStyle name="Связанная ячейка 9" xfId="16226"/>
    <cellStyle name="Связанная ячейка 9 2" xfId="16227"/>
    <cellStyle name="Связанная ячейка 9_46EE.2011(v1.0)" xfId="16228"/>
    <cellStyle name="Статья" xfId="16229"/>
    <cellStyle name="Стиль 1" xfId="16230"/>
    <cellStyle name="Стиль 1 2" xfId="16231"/>
    <cellStyle name="Стиль 1 2 2" xfId="16232"/>
    <cellStyle name="Стиль 1 2 3" xfId="16233"/>
    <cellStyle name="Стиль 1 2_46EP.2011(v2.0)" xfId="16234"/>
    <cellStyle name="Стиль 1 3" xfId="16235"/>
    <cellStyle name="Стиль 1 4" xfId="16236"/>
    <cellStyle name="Стиль 1 5" xfId="16237"/>
    <cellStyle name="Стиль 1 6" xfId="16238"/>
    <cellStyle name="Стиль 1 7" xfId="16239"/>
    <cellStyle name="Стиль 1 8" xfId="16240"/>
    <cellStyle name="Стиль 1 9" xfId="16241"/>
    <cellStyle name="Стиль 1_Новая инструкция1_фст" xfId="16242"/>
    <cellStyle name="Стиль 10" xfId="16243"/>
    <cellStyle name="Стиль 2" xfId="16244"/>
    <cellStyle name="Стиль 2 2" xfId="16245"/>
    <cellStyle name="Стиль 2 2 2" xfId="16246"/>
    <cellStyle name="Стиль 2 2 3" xfId="16247"/>
    <cellStyle name="Стиль 2 2 4" xfId="16248"/>
    <cellStyle name="Стиль 2 3" xfId="16249"/>
    <cellStyle name="Стиль 2 3 2" xfId="16250"/>
    <cellStyle name="Стиль 2 3 3" xfId="16251"/>
    <cellStyle name="Стиль 2 3 4" xfId="16252"/>
    <cellStyle name="Стиль 2 4" xfId="16253"/>
    <cellStyle name="Стиль 2 4 2" xfId="16254"/>
    <cellStyle name="Стиль 2 4 3" xfId="16255"/>
    <cellStyle name="Стиль 2 4 4" xfId="16256"/>
    <cellStyle name="Стиль 2 5" xfId="16257"/>
    <cellStyle name="Стиль 2 6" xfId="16258"/>
    <cellStyle name="Стиль 2 7" xfId="16259"/>
    <cellStyle name="Субсчет" xfId="16260"/>
    <cellStyle name="Счет" xfId="16261"/>
    <cellStyle name="ТЕКСТ" xfId="16262"/>
    <cellStyle name="ТЕКСТ 2" xfId="16263"/>
    <cellStyle name="ТЕКСТ 3" xfId="16264"/>
    <cellStyle name="ТЕКСТ 4" xfId="16265"/>
    <cellStyle name="ТЕКСТ 5" xfId="16266"/>
    <cellStyle name="ТЕКСТ 6" xfId="16267"/>
    <cellStyle name="ТЕКСТ 7" xfId="16268"/>
    <cellStyle name="ТЕКСТ 8" xfId="16269"/>
    <cellStyle name="ТЕКСТ 9" xfId="16270"/>
    <cellStyle name="Текст предупреждения 10" xfId="16271"/>
    <cellStyle name="Текст предупреждения 2" xfId="16272"/>
    <cellStyle name="Текст предупреждения 2 2" xfId="16273"/>
    <cellStyle name="Текст предупреждения 3" xfId="16274"/>
    <cellStyle name="Текст предупреждения 3 2" xfId="16275"/>
    <cellStyle name="Текст предупреждения 4" xfId="16276"/>
    <cellStyle name="Текст предупреждения 4 2" xfId="16277"/>
    <cellStyle name="Текст предупреждения 5" xfId="16278"/>
    <cellStyle name="Текст предупреждения 5 2" xfId="16279"/>
    <cellStyle name="Текст предупреждения 6" xfId="16280"/>
    <cellStyle name="Текст предупреждения 6 2" xfId="16281"/>
    <cellStyle name="Текст предупреждения 7" xfId="16282"/>
    <cellStyle name="Текст предупреждения 7 2" xfId="16283"/>
    <cellStyle name="Текст предупреждения 8" xfId="16284"/>
    <cellStyle name="Текст предупреждения 8 2" xfId="16285"/>
    <cellStyle name="Текст предупреждения 9" xfId="16286"/>
    <cellStyle name="Текст предупреждения 9 2" xfId="16287"/>
    <cellStyle name="Текстовый" xfId="16288"/>
    <cellStyle name="Текстовый 10" xfId="16289"/>
    <cellStyle name="Текстовый 11" xfId="16290"/>
    <cellStyle name="Текстовый 12" xfId="16291"/>
    <cellStyle name="Текстовый 13" xfId="16292"/>
    <cellStyle name="Текстовый 14" xfId="16293"/>
    <cellStyle name="Текстовый 2" xfId="16294"/>
    <cellStyle name="Текстовый 3" xfId="16295"/>
    <cellStyle name="Текстовый 4" xfId="16296"/>
    <cellStyle name="Текстовый 5" xfId="16297"/>
    <cellStyle name="Текстовый 6" xfId="16298"/>
    <cellStyle name="Текстовый 7" xfId="16299"/>
    <cellStyle name="Текстовый 8" xfId="16300"/>
    <cellStyle name="Текстовый 9" xfId="16301"/>
    <cellStyle name="Текстовый_1" xfId="16302"/>
    <cellStyle name="Тело таблицы" xfId="16303"/>
    <cellStyle name="ТысРуб" xfId="16304"/>
    <cellStyle name="Тысячи" xfId="16305"/>
    <cellStyle name="Тысячи (0)" xfId="16306"/>
    <cellStyle name="Тысячи (0) 10" xfId="16307"/>
    <cellStyle name="Тысячи (0) 11" xfId="16308"/>
    <cellStyle name="Тысячи (0) 12" xfId="16309"/>
    <cellStyle name="Тысячи (0) 13" xfId="16310"/>
    <cellStyle name="Тысячи (0) 14" xfId="16311"/>
    <cellStyle name="Тысячи (0) 15" xfId="16312"/>
    <cellStyle name="Тысячи (0) 16" xfId="16313"/>
    <cellStyle name="Тысячи (0) 17" xfId="16314"/>
    <cellStyle name="Тысячи (0) 18" xfId="16315"/>
    <cellStyle name="Тысячи (0) 19" xfId="16316"/>
    <cellStyle name="Тысячи (0) 2" xfId="16317"/>
    <cellStyle name="Тысячи (0) 20" xfId="16318"/>
    <cellStyle name="Тысячи (0) 21" xfId="16319"/>
    <cellStyle name="Тысячи (0) 22" xfId="16320"/>
    <cellStyle name="Тысячи (0) 23" xfId="16321"/>
    <cellStyle name="Тысячи (0) 24" xfId="16322"/>
    <cellStyle name="Тысячи (0) 25" xfId="16323"/>
    <cellStyle name="Тысячи (0) 26" xfId="16324"/>
    <cellStyle name="Тысячи (0) 27" xfId="16325"/>
    <cellStyle name="Тысячи (0) 28" xfId="16326"/>
    <cellStyle name="Тысячи (0) 29" xfId="16327"/>
    <cellStyle name="Тысячи (0) 3" xfId="16328"/>
    <cellStyle name="Тысячи (0) 30" xfId="16329"/>
    <cellStyle name="Тысячи (0) 31" xfId="16330"/>
    <cellStyle name="Тысячи (0) 32" xfId="16331"/>
    <cellStyle name="Тысячи (0) 33" xfId="16332"/>
    <cellStyle name="Тысячи (0) 34" xfId="16333"/>
    <cellStyle name="Тысячи (0) 35" xfId="16334"/>
    <cellStyle name="Тысячи (0) 36" xfId="16335"/>
    <cellStyle name="Тысячи (0) 37" xfId="16336"/>
    <cellStyle name="Тысячи (0) 38" xfId="16337"/>
    <cellStyle name="Тысячи (0) 39" xfId="16338"/>
    <cellStyle name="Тысячи (0) 4" xfId="16339"/>
    <cellStyle name="Тысячи (0) 40" xfId="16340"/>
    <cellStyle name="Тысячи (0) 41" xfId="16341"/>
    <cellStyle name="Тысячи (0) 42" xfId="16342"/>
    <cellStyle name="Тысячи (0) 43" xfId="16343"/>
    <cellStyle name="Тысячи (0) 5" xfId="16344"/>
    <cellStyle name="Тысячи (0) 6" xfId="16345"/>
    <cellStyle name="Тысячи (0) 7" xfId="16346"/>
    <cellStyle name="Тысячи (0) 8" xfId="16347"/>
    <cellStyle name="Тысячи (0) 9" xfId="16348"/>
    <cellStyle name="тысячи (000)" xfId="16349"/>
    <cellStyle name="тысячи (000) 10" xfId="16350"/>
    <cellStyle name="тысячи (000) 11" xfId="16351"/>
    <cellStyle name="тысячи (000) 12" xfId="16352"/>
    <cellStyle name="тысячи (000) 13" xfId="16353"/>
    <cellStyle name="тысячи (000) 14" xfId="16354"/>
    <cellStyle name="тысячи (000) 15" xfId="16355"/>
    <cellStyle name="тысячи (000) 16" xfId="16356"/>
    <cellStyle name="тысячи (000) 17" xfId="16357"/>
    <cellStyle name="тысячи (000) 18" xfId="16358"/>
    <cellStyle name="тысячи (000) 19" xfId="16359"/>
    <cellStyle name="тысячи (000) 2" xfId="16360"/>
    <cellStyle name="тысячи (000) 20" xfId="16361"/>
    <cellStyle name="тысячи (000) 21" xfId="16362"/>
    <cellStyle name="тысячи (000) 22" xfId="16363"/>
    <cellStyle name="тысячи (000) 23" xfId="16364"/>
    <cellStyle name="тысячи (000) 24" xfId="16365"/>
    <cellStyle name="тысячи (000) 25" xfId="16366"/>
    <cellStyle name="тысячи (000) 26" xfId="16367"/>
    <cellStyle name="тысячи (000) 27" xfId="16368"/>
    <cellStyle name="тысячи (000) 28" xfId="16369"/>
    <cellStyle name="тысячи (000) 29" xfId="16370"/>
    <cellStyle name="тысячи (000) 3" xfId="16371"/>
    <cellStyle name="тысячи (000) 30" xfId="16372"/>
    <cellStyle name="тысячи (000) 31" xfId="16373"/>
    <cellStyle name="тысячи (000) 32" xfId="16374"/>
    <cellStyle name="тысячи (000) 33" xfId="16375"/>
    <cellStyle name="тысячи (000) 34" xfId="16376"/>
    <cellStyle name="тысячи (000) 35" xfId="16377"/>
    <cellStyle name="тысячи (000) 36" xfId="16378"/>
    <cellStyle name="тысячи (000) 37" xfId="16379"/>
    <cellStyle name="тысячи (000) 38" xfId="16380"/>
    <cellStyle name="тысячи (000) 39" xfId="16381"/>
    <cellStyle name="тысячи (000) 4" xfId="16382"/>
    <cellStyle name="тысячи (000) 40" xfId="16383"/>
    <cellStyle name="тысячи (000) 41" xfId="16384"/>
    <cellStyle name="тысячи (000) 42" xfId="16385"/>
    <cellStyle name="тысячи (000) 5" xfId="16386"/>
    <cellStyle name="тысячи (000) 6" xfId="16387"/>
    <cellStyle name="тысячи (000) 7" xfId="16388"/>
    <cellStyle name="тысячи (000) 8" xfId="16389"/>
    <cellStyle name="тысячи (000) 9" xfId="16390"/>
    <cellStyle name="Тысячи [0.0]" xfId="16391"/>
    <cellStyle name="Тысячи [0]_1 кв" xfId="16392"/>
    <cellStyle name="Тысячи [а]" xfId="16393"/>
    <cellStyle name="Тысячи 10" xfId="16394"/>
    <cellStyle name="Тысячи 11" xfId="16395"/>
    <cellStyle name="Тысячи 12" xfId="16396"/>
    <cellStyle name="Тысячи 13" xfId="16397"/>
    <cellStyle name="Тысячи 14" xfId="16398"/>
    <cellStyle name="Тысячи 15" xfId="16399"/>
    <cellStyle name="Тысячи 16" xfId="16400"/>
    <cellStyle name="Тысячи 17" xfId="16401"/>
    <cellStyle name="Тысячи 18" xfId="16402"/>
    <cellStyle name="Тысячи 19" xfId="16403"/>
    <cellStyle name="Тысячи 2" xfId="16404"/>
    <cellStyle name="Тысячи 20" xfId="16405"/>
    <cellStyle name="Тысячи 21" xfId="16406"/>
    <cellStyle name="Тысячи 22" xfId="16407"/>
    <cellStyle name="Тысячи 23" xfId="16408"/>
    <cellStyle name="Тысячи 24" xfId="16409"/>
    <cellStyle name="Тысячи 25" xfId="16410"/>
    <cellStyle name="Тысячи 26" xfId="16411"/>
    <cellStyle name="Тысячи 27" xfId="16412"/>
    <cellStyle name="Тысячи 28" xfId="16413"/>
    <cellStyle name="Тысячи 29" xfId="16414"/>
    <cellStyle name="Тысячи 3" xfId="16415"/>
    <cellStyle name="Тысячи 30" xfId="16416"/>
    <cellStyle name="Тысячи 31" xfId="16417"/>
    <cellStyle name="Тысячи 32" xfId="16418"/>
    <cellStyle name="Тысячи 33" xfId="16419"/>
    <cellStyle name="Тысячи 34" xfId="16420"/>
    <cellStyle name="Тысячи 35" xfId="16421"/>
    <cellStyle name="Тысячи 36" xfId="16422"/>
    <cellStyle name="Тысячи 37" xfId="16423"/>
    <cellStyle name="Тысячи 38" xfId="16424"/>
    <cellStyle name="Тысячи 39" xfId="16425"/>
    <cellStyle name="Тысячи 4" xfId="16426"/>
    <cellStyle name="Тысячи 40" xfId="16427"/>
    <cellStyle name="Тысячи 41" xfId="16428"/>
    <cellStyle name="Тысячи 42" xfId="16429"/>
    <cellStyle name="Тысячи 5" xfId="16430"/>
    <cellStyle name="Тысячи 6" xfId="16431"/>
    <cellStyle name="Тысячи 7" xfId="16432"/>
    <cellStyle name="Тысячи 8" xfId="16433"/>
    <cellStyle name="Тысячи 9" xfId="16434"/>
    <cellStyle name="Тысячи_ прибыль " xfId="16435"/>
    <cellStyle name="ФИКСИРОВАННЫЙ" xfId="16436"/>
    <cellStyle name="ФИКСИРОВАННЫЙ 2" xfId="16437"/>
    <cellStyle name="ФИКСИРОВАННЫЙ 3" xfId="16438"/>
    <cellStyle name="ФИКСИРОВАННЫЙ 4" xfId="16439"/>
    <cellStyle name="ФИКСИРОВАННЫЙ 5" xfId="16440"/>
    <cellStyle name="ФИКСИРОВАННЫЙ 6" xfId="16441"/>
    <cellStyle name="ФИКСИРОВАННЫЙ 7" xfId="16442"/>
    <cellStyle name="ФИКСИРОВАННЫЙ 8" xfId="16443"/>
    <cellStyle name="ФИКСИРОВАННЫЙ 9" xfId="16444"/>
    <cellStyle name="ФИКСИРОВАННЫЙ_1" xfId="16445"/>
    <cellStyle name="Финансовый" xfId="1" builtinId="3"/>
    <cellStyle name="Финансовый 10" xfId="16446"/>
    <cellStyle name="Финансовый 2" xfId="16447"/>
    <cellStyle name="Финансовый 2 10" xfId="16448"/>
    <cellStyle name="Финансовый 2 11" xfId="16449"/>
    <cellStyle name="Финансовый 2 12" xfId="16450"/>
    <cellStyle name="Финансовый 2 13" xfId="16451"/>
    <cellStyle name="Финансовый 2 14" xfId="16452"/>
    <cellStyle name="Финансовый 2 15" xfId="16453"/>
    <cellStyle name="Финансовый 2 15 2" xfId="16454"/>
    <cellStyle name="Финансовый 2 15 3" xfId="16455"/>
    <cellStyle name="Финансовый 2 15 4" xfId="16456"/>
    <cellStyle name="Финансовый 2 16" xfId="16457"/>
    <cellStyle name="Финансовый 2 17" xfId="16458"/>
    <cellStyle name="Финансовый 2 18" xfId="16459"/>
    <cellStyle name="Финансовый 2 19" xfId="16460"/>
    <cellStyle name="Финансовый 2 2" xfId="16461"/>
    <cellStyle name="Финансовый 2 2 2" xfId="16462"/>
    <cellStyle name="Финансовый 2 2 3" xfId="16463"/>
    <cellStyle name="Финансовый 2 2 4" xfId="16464"/>
    <cellStyle name="Финансовый 2 2_FORMA23-N.ENRG.2011 (v0.1)" xfId="16465"/>
    <cellStyle name="Финансовый 2 20" xfId="16466"/>
    <cellStyle name="Финансовый 2 3" xfId="16467"/>
    <cellStyle name="Финансовый 2 4" xfId="16468"/>
    <cellStyle name="Финансовый 2 5" xfId="16469"/>
    <cellStyle name="Финансовый 2 6" xfId="16470"/>
    <cellStyle name="Финансовый 2 7" xfId="16471"/>
    <cellStyle name="Финансовый 2 8" xfId="16472"/>
    <cellStyle name="Финансовый 2 9" xfId="16473"/>
    <cellStyle name="Финансовый 2_46EE.2011(v1.0)" xfId="16474"/>
    <cellStyle name="Финансовый 3" xfId="16475"/>
    <cellStyle name="Финансовый 3 2" xfId="16476"/>
    <cellStyle name="Финансовый 3 2 2" xfId="16477"/>
    <cellStyle name="Финансовый 3 3" xfId="16478"/>
    <cellStyle name="Финансовый 3 4" xfId="16479"/>
    <cellStyle name="Финансовый 3 5" xfId="16480"/>
    <cellStyle name="Финансовый 3 6" xfId="16481"/>
    <cellStyle name="Финансовый 3_ARMRAZR" xfId="16482"/>
    <cellStyle name="Финансовый 4" xfId="16483"/>
    <cellStyle name="Финансовый 4 2" xfId="16484"/>
    <cellStyle name="Финансовый 4 3" xfId="16485"/>
    <cellStyle name="Финансовый 4_TEHSHEET" xfId="16486"/>
    <cellStyle name="Финансовый 5" xfId="16487"/>
    <cellStyle name="Финансовый 5 2" xfId="16488"/>
    <cellStyle name="Финансовый 5 2 2" xfId="16489"/>
    <cellStyle name="Финансовый 5 2 3" xfId="16490"/>
    <cellStyle name="Финансовый 5 3" xfId="16491"/>
    <cellStyle name="Финансовый 5 4" xfId="16492"/>
    <cellStyle name="Финансовый 5 5" xfId="16493"/>
    <cellStyle name="Финансовый 6" xfId="16494"/>
    <cellStyle name="Финансовый 7" xfId="16495"/>
    <cellStyle name="Финансовый 8" xfId="16496"/>
    <cellStyle name="Финансовый 9" xfId="16497"/>
    <cellStyle name="Финансовый0[0]_FU_bal" xfId="16498"/>
    <cellStyle name="Формула" xfId="16499"/>
    <cellStyle name="Формула 2" xfId="16500"/>
    <cellStyle name="Формула_A РТ 2009 Рязаньэнерго" xfId="16501"/>
    <cellStyle name="ФормулаВБ" xfId="16502"/>
    <cellStyle name="ФормулаВБ 2" xfId="16503"/>
    <cellStyle name="ФормулаВБ 3" xfId="16504"/>
    <cellStyle name="ФормулаВБ 4" xfId="16505"/>
    <cellStyle name="ФормулаВБ 5" xfId="16506"/>
    <cellStyle name="ФормулаВБ 6" xfId="16507"/>
    <cellStyle name="ФормулаНаКонтроль" xfId="16508"/>
    <cellStyle name="ФормулаНаКонтроль 2" xfId="16509"/>
    <cellStyle name="ФормулаНаКонтроль 2 2" xfId="16510"/>
    <cellStyle name="ФормулаНаКонтроль 2 2 2" xfId="16511"/>
    <cellStyle name="ФормулаНаКонтроль 2 2 3" xfId="16512"/>
    <cellStyle name="ФормулаНаКонтроль 2 2 4" xfId="16513"/>
    <cellStyle name="ФормулаНаКонтроль 2 3" xfId="16514"/>
    <cellStyle name="ФормулаНаКонтроль 2 4" xfId="16515"/>
    <cellStyle name="ФормулаНаКонтроль 2 5" xfId="16516"/>
    <cellStyle name="ФормулаНаКонтроль 3" xfId="16517"/>
    <cellStyle name="ФормулаНаКонтроль 3 2" xfId="16518"/>
    <cellStyle name="ФормулаНаКонтроль 3 2 2" xfId="16519"/>
    <cellStyle name="ФормулаНаКонтроль 3 2 3" xfId="16520"/>
    <cellStyle name="ФормулаНаКонтроль 3 2 4" xfId="16521"/>
    <cellStyle name="ФормулаНаКонтроль 3 3" xfId="16522"/>
    <cellStyle name="ФормулаНаКонтроль 3 4" xfId="16523"/>
    <cellStyle name="ФормулаНаКонтроль 3 5" xfId="16524"/>
    <cellStyle name="ФормулаНаКонтроль 4" xfId="16525"/>
    <cellStyle name="ФормулаНаКонтроль 4 2" xfId="16526"/>
    <cellStyle name="ФормулаНаКонтроль 4 2 2" xfId="16527"/>
    <cellStyle name="ФормулаНаКонтроль 4 2 3" xfId="16528"/>
    <cellStyle name="ФормулаНаКонтроль 4 2 4" xfId="16529"/>
    <cellStyle name="ФормулаНаКонтроль 4 3" xfId="16530"/>
    <cellStyle name="ФормулаНаКонтроль 4 4" xfId="16531"/>
    <cellStyle name="ФормулаНаКонтроль 4 5" xfId="16532"/>
    <cellStyle name="ФормулаНаКонтроль 5" xfId="16533"/>
    <cellStyle name="ФормулаНаКонтроль 5 2" xfId="16534"/>
    <cellStyle name="ФормулаНаКонтроль 5 3" xfId="16535"/>
    <cellStyle name="ФормулаНаКонтроль 5 4" xfId="16536"/>
    <cellStyle name="ФормулаНаКонтроль 6" xfId="16537"/>
    <cellStyle name="ФормулаНаКонтроль 7" xfId="16538"/>
    <cellStyle name="ФормулаНаКонтроль 8" xfId="16539"/>
    <cellStyle name="Формулы" xfId="16540"/>
    <cellStyle name="Формулы 2" xfId="16541"/>
    <cellStyle name="Хороший 10" xfId="16542"/>
    <cellStyle name="Хороший 11" xfId="16543"/>
    <cellStyle name="Хороший 2" xfId="16544"/>
    <cellStyle name="Хороший 2 2" xfId="16545"/>
    <cellStyle name="Хороший 3" xfId="16546"/>
    <cellStyle name="Хороший 3 2" xfId="16547"/>
    <cellStyle name="Хороший 4" xfId="16548"/>
    <cellStyle name="Хороший 4 2" xfId="16549"/>
    <cellStyle name="Хороший 5" xfId="16550"/>
    <cellStyle name="Хороший 5 2" xfId="16551"/>
    <cellStyle name="Хороший 6" xfId="16552"/>
    <cellStyle name="Хороший 6 2" xfId="16553"/>
    <cellStyle name="Хороший 7" xfId="16554"/>
    <cellStyle name="Хороший 7 2" xfId="16555"/>
    <cellStyle name="Хороший 8" xfId="16556"/>
    <cellStyle name="Хороший 8 2" xfId="16557"/>
    <cellStyle name="Хороший 9" xfId="16558"/>
    <cellStyle name="Хороший 9 2" xfId="16559"/>
    <cellStyle name="Цена_продукта" xfId="16560"/>
    <cellStyle name="Цифры по центру с десятыми" xfId="16561"/>
    <cellStyle name="Цифры по центру с десятыми 10" xfId="16562"/>
    <cellStyle name="Цифры по центру с десятыми 11" xfId="16563"/>
    <cellStyle name="Цифры по центру с десятыми 2" xfId="16564"/>
    <cellStyle name="Цифры по центру с десятыми 2 2" xfId="16565"/>
    <cellStyle name="Цифры по центру с десятыми 2 2 2" xfId="16566"/>
    <cellStyle name="Цифры по центру с десятыми 2 2 2 2" xfId="16567"/>
    <cellStyle name="Цифры по центру с десятыми 2 2 2 3" xfId="16568"/>
    <cellStyle name="Цифры по центру с десятыми 2 2 2 4" xfId="16569"/>
    <cellStyle name="Цифры по центру с десятыми 2 2 3" xfId="16570"/>
    <cellStyle name="Цифры по центру с десятыми 2 2 4" xfId="16571"/>
    <cellStyle name="Цифры по центру с десятыми 2 2 5" xfId="16572"/>
    <cellStyle name="Цифры по центру с десятыми 2 3" xfId="16573"/>
    <cellStyle name="Цифры по центру с десятыми 2 3 2" xfId="16574"/>
    <cellStyle name="Цифры по центру с десятыми 2 3 2 2" xfId="16575"/>
    <cellStyle name="Цифры по центру с десятыми 2 3 2 3" xfId="16576"/>
    <cellStyle name="Цифры по центру с десятыми 2 3 2 4" xfId="16577"/>
    <cellStyle name="Цифры по центру с десятыми 2 3 3" xfId="16578"/>
    <cellStyle name="Цифры по центру с десятыми 2 3 4" xfId="16579"/>
    <cellStyle name="Цифры по центру с десятыми 2 3 5" xfId="16580"/>
    <cellStyle name="Цифры по центру с десятыми 2 4" xfId="16581"/>
    <cellStyle name="Цифры по центру с десятыми 2 4 2" xfId="16582"/>
    <cellStyle name="Цифры по центру с десятыми 2 4 2 2" xfId="16583"/>
    <cellStyle name="Цифры по центру с десятыми 2 4 2 3" xfId="16584"/>
    <cellStyle name="Цифры по центру с десятыми 2 4 2 4" xfId="16585"/>
    <cellStyle name="Цифры по центру с десятыми 2 4 3" xfId="16586"/>
    <cellStyle name="Цифры по центру с десятыми 2 4 4" xfId="16587"/>
    <cellStyle name="Цифры по центру с десятыми 2 4 5" xfId="16588"/>
    <cellStyle name="Цифры по центру с десятыми 2 5" xfId="16589"/>
    <cellStyle name="Цифры по центру с десятыми 2 5 2" xfId="16590"/>
    <cellStyle name="Цифры по центру с десятыми 2 5 3" xfId="16591"/>
    <cellStyle name="Цифры по центру с десятыми 2 5 4" xfId="16592"/>
    <cellStyle name="Цифры по центру с десятыми 2 6" xfId="16593"/>
    <cellStyle name="Цифры по центру с десятыми 2 7" xfId="16594"/>
    <cellStyle name="Цифры по центру с десятыми 2 8" xfId="16595"/>
    <cellStyle name="Цифры по центру с десятыми 3" xfId="16596"/>
    <cellStyle name="Цифры по центру с десятыми 3 2" xfId="16597"/>
    <cellStyle name="Цифры по центру с десятыми 3 2 2" xfId="16598"/>
    <cellStyle name="Цифры по центру с десятыми 3 2 2 2" xfId="16599"/>
    <cellStyle name="Цифры по центру с десятыми 3 2 2 3" xfId="16600"/>
    <cellStyle name="Цифры по центру с десятыми 3 2 2 4" xfId="16601"/>
    <cellStyle name="Цифры по центру с десятыми 3 2 3" xfId="16602"/>
    <cellStyle name="Цифры по центру с десятыми 3 2 4" xfId="16603"/>
    <cellStyle name="Цифры по центру с десятыми 3 2 5" xfId="16604"/>
    <cellStyle name="Цифры по центру с десятыми 3 3" xfId="16605"/>
    <cellStyle name="Цифры по центру с десятыми 3 3 2" xfId="16606"/>
    <cellStyle name="Цифры по центру с десятыми 3 3 2 2" xfId="16607"/>
    <cellStyle name="Цифры по центру с десятыми 3 3 2 3" xfId="16608"/>
    <cellStyle name="Цифры по центру с десятыми 3 3 2 4" xfId="16609"/>
    <cellStyle name="Цифры по центру с десятыми 3 3 3" xfId="16610"/>
    <cellStyle name="Цифры по центру с десятыми 3 3 4" xfId="16611"/>
    <cellStyle name="Цифры по центру с десятыми 3 3 5" xfId="16612"/>
    <cellStyle name="Цифры по центру с десятыми 3 4" xfId="16613"/>
    <cellStyle name="Цифры по центру с десятыми 3 4 2" xfId="16614"/>
    <cellStyle name="Цифры по центру с десятыми 3 4 2 2" xfId="16615"/>
    <cellStyle name="Цифры по центру с десятыми 3 4 2 3" xfId="16616"/>
    <cellStyle name="Цифры по центру с десятыми 3 4 2 4" xfId="16617"/>
    <cellStyle name="Цифры по центру с десятыми 3 4 3" xfId="16618"/>
    <cellStyle name="Цифры по центру с десятыми 3 4 4" xfId="16619"/>
    <cellStyle name="Цифры по центру с десятыми 3 4 5" xfId="16620"/>
    <cellStyle name="Цифры по центру с десятыми 3 5" xfId="16621"/>
    <cellStyle name="Цифры по центру с десятыми 3 5 2" xfId="16622"/>
    <cellStyle name="Цифры по центру с десятыми 3 5 3" xfId="16623"/>
    <cellStyle name="Цифры по центру с десятыми 3 5 4" xfId="16624"/>
    <cellStyle name="Цифры по центру с десятыми 3 6" xfId="16625"/>
    <cellStyle name="Цифры по центру с десятыми 3 7" xfId="16626"/>
    <cellStyle name="Цифры по центру с десятыми 3 8" xfId="16627"/>
    <cellStyle name="Цифры по центру с десятыми 4" xfId="16628"/>
    <cellStyle name="Цифры по центру с десятыми 4 2" xfId="16629"/>
    <cellStyle name="Цифры по центру с десятыми 4 2 2" xfId="16630"/>
    <cellStyle name="Цифры по центру с десятыми 4 2 2 2" xfId="16631"/>
    <cellStyle name="Цифры по центру с десятыми 4 2 2 3" xfId="16632"/>
    <cellStyle name="Цифры по центру с десятыми 4 2 2 4" xfId="16633"/>
    <cellStyle name="Цифры по центру с десятыми 4 2 3" xfId="16634"/>
    <cellStyle name="Цифры по центру с десятыми 4 2 4" xfId="16635"/>
    <cellStyle name="Цифры по центру с десятыми 4 2 5" xfId="16636"/>
    <cellStyle name="Цифры по центру с десятыми 4 3" xfId="16637"/>
    <cellStyle name="Цифры по центру с десятыми 4 3 2" xfId="16638"/>
    <cellStyle name="Цифры по центру с десятыми 4 3 2 2" xfId="16639"/>
    <cellStyle name="Цифры по центру с десятыми 4 3 2 3" xfId="16640"/>
    <cellStyle name="Цифры по центру с десятыми 4 3 2 4" xfId="16641"/>
    <cellStyle name="Цифры по центру с десятыми 4 3 3" xfId="16642"/>
    <cellStyle name="Цифры по центру с десятыми 4 3 4" xfId="16643"/>
    <cellStyle name="Цифры по центру с десятыми 4 3 5" xfId="16644"/>
    <cellStyle name="Цифры по центру с десятыми 4 4" xfId="16645"/>
    <cellStyle name="Цифры по центру с десятыми 4 4 2" xfId="16646"/>
    <cellStyle name="Цифры по центру с десятыми 4 4 2 2" xfId="16647"/>
    <cellStyle name="Цифры по центру с десятыми 4 4 2 3" xfId="16648"/>
    <cellStyle name="Цифры по центру с десятыми 4 4 2 4" xfId="16649"/>
    <cellStyle name="Цифры по центру с десятыми 4 4 3" xfId="16650"/>
    <cellStyle name="Цифры по центру с десятыми 4 4 4" xfId="16651"/>
    <cellStyle name="Цифры по центру с десятыми 4 4 5" xfId="16652"/>
    <cellStyle name="Цифры по центру с десятыми 4 5" xfId="16653"/>
    <cellStyle name="Цифры по центру с десятыми 4 5 2" xfId="16654"/>
    <cellStyle name="Цифры по центру с десятыми 4 5 3" xfId="16655"/>
    <cellStyle name="Цифры по центру с десятыми 4 5 4" xfId="16656"/>
    <cellStyle name="Цифры по центру с десятыми 4 6" xfId="16657"/>
    <cellStyle name="Цифры по центру с десятыми 4 7" xfId="16658"/>
    <cellStyle name="Цифры по центру с десятыми 4 8" xfId="16659"/>
    <cellStyle name="Цифры по центру с десятыми 5" xfId="16660"/>
    <cellStyle name="Цифры по центру с десятыми 5 2" xfId="16661"/>
    <cellStyle name="Цифры по центру с десятыми 5 2 2" xfId="16662"/>
    <cellStyle name="Цифры по центру с десятыми 5 2 3" xfId="16663"/>
    <cellStyle name="Цифры по центру с десятыми 5 2 4" xfId="16664"/>
    <cellStyle name="Цифры по центру с десятыми 5 3" xfId="16665"/>
    <cellStyle name="Цифры по центру с десятыми 5 4" xfId="16666"/>
    <cellStyle name="Цифры по центру с десятыми 5 5" xfId="16667"/>
    <cellStyle name="Цифры по центру с десятыми 6" xfId="16668"/>
    <cellStyle name="Цифры по центру с десятыми 6 2" xfId="16669"/>
    <cellStyle name="Цифры по центру с десятыми 6 2 2" xfId="16670"/>
    <cellStyle name="Цифры по центру с десятыми 6 2 3" xfId="16671"/>
    <cellStyle name="Цифры по центру с десятыми 6 2 4" xfId="16672"/>
    <cellStyle name="Цифры по центру с десятыми 6 3" xfId="16673"/>
    <cellStyle name="Цифры по центру с десятыми 6 4" xfId="16674"/>
    <cellStyle name="Цифры по центру с десятыми 6 5" xfId="16675"/>
    <cellStyle name="Цифры по центру с десятыми 7" xfId="16676"/>
    <cellStyle name="Цифры по центру с десятыми 7 2" xfId="16677"/>
    <cellStyle name="Цифры по центру с десятыми 7 2 2" xfId="16678"/>
    <cellStyle name="Цифры по центру с десятыми 7 2 3" xfId="16679"/>
    <cellStyle name="Цифры по центру с десятыми 7 2 4" xfId="16680"/>
    <cellStyle name="Цифры по центру с десятыми 7 3" xfId="16681"/>
    <cellStyle name="Цифры по центру с десятыми 7 4" xfId="16682"/>
    <cellStyle name="Цифры по центру с десятыми 7 5" xfId="16683"/>
    <cellStyle name="Цифры по центру с десятыми 8" xfId="16684"/>
    <cellStyle name="Цифры по центру с десятыми 8 2" xfId="16685"/>
    <cellStyle name="Цифры по центру с десятыми 8 3" xfId="16686"/>
    <cellStyle name="Цифры по центру с десятыми 8 4" xfId="16687"/>
    <cellStyle name="Цифры по центру с десятыми 9" xfId="16688"/>
    <cellStyle name="число" xfId="16689"/>
    <cellStyle name="Џђћ–…ќ’ќ›‰" xfId="16690"/>
    <cellStyle name="Џђћ–…ќ’ќ›‰ 2" xfId="16691"/>
    <cellStyle name="Џђћ–…ќ’ќ›‰ 2 2" xfId="16692"/>
    <cellStyle name="Џђћ–…ќ’ќ›‰ 2 3" xfId="16693"/>
    <cellStyle name="Џђћ–…ќ’ќ›‰ 3" xfId="16694"/>
    <cellStyle name="Џђћ–…ќ’ќ›‰ 4" xfId="16695"/>
    <cellStyle name="Џђћ–…ќ’ќ›‰ 5" xfId="16696"/>
    <cellStyle name="Џђћ–…ќ’ќ›‰ 6" xfId="16697"/>
    <cellStyle name="Џђћ–…ќ’ќ›‰ 7" xfId="16698"/>
    <cellStyle name="Џђћ–…ќ’ќ›‰ 8" xfId="16699"/>
    <cellStyle name="Џђћ–…ќ’ќ›‰ 9" xfId="16700"/>
    <cellStyle name="Шапка" xfId="16701"/>
    <cellStyle name="Шапка 2" xfId="16702"/>
    <cellStyle name="Шапка 2 2" xfId="16703"/>
    <cellStyle name="Шапка 2 2 2" xfId="16704"/>
    <cellStyle name="Шапка 2 2 3" xfId="16705"/>
    <cellStyle name="Шапка 2 2 4" xfId="16706"/>
    <cellStyle name="Шапка 2 3" xfId="16707"/>
    <cellStyle name="Шапка 2 4" xfId="16708"/>
    <cellStyle name="Шапка 2 5" xfId="16709"/>
    <cellStyle name="Шапка 3" xfId="16710"/>
    <cellStyle name="Шапка 3 2" xfId="16711"/>
    <cellStyle name="Шапка 3 2 2" xfId="16712"/>
    <cellStyle name="Шапка 3 2 3" xfId="16713"/>
    <cellStyle name="Шапка 3 2 4" xfId="16714"/>
    <cellStyle name="Шапка 3 3" xfId="16715"/>
    <cellStyle name="Шапка 3 4" xfId="16716"/>
    <cellStyle name="Шапка 3 5" xfId="16717"/>
    <cellStyle name="Шапка 4" xfId="16718"/>
    <cellStyle name="Шапка 4 2" xfId="16719"/>
    <cellStyle name="Шапка 4 2 2" xfId="16720"/>
    <cellStyle name="Шапка 4 2 3" xfId="16721"/>
    <cellStyle name="Шапка 4 2 4" xfId="16722"/>
    <cellStyle name="Шапка 4 3" xfId="16723"/>
    <cellStyle name="Шапка 4 4" xfId="16724"/>
    <cellStyle name="Шапка 4 5" xfId="16725"/>
    <cellStyle name="Шапка 5" xfId="16726"/>
    <cellStyle name="Шапка 5 2" xfId="16727"/>
    <cellStyle name="Шапка 5 3" xfId="16728"/>
    <cellStyle name="Шапка 5 4" xfId="16729"/>
    <cellStyle name="Шапка 6" xfId="16730"/>
    <cellStyle name="Шапка 7" xfId="16731"/>
    <cellStyle name="Шапка 8" xfId="16732"/>
    <cellStyle name="Шапка таблицы" xfId="16733"/>
    <cellStyle name="Шапка таблицы 10" xfId="16734"/>
    <cellStyle name="Шапка таблицы 11" xfId="16735"/>
    <cellStyle name="Шапка таблицы 12" xfId="16736"/>
    <cellStyle name="Шапка таблицы 13" xfId="16737"/>
    <cellStyle name="Шапка таблицы 14" xfId="16738"/>
    <cellStyle name="Шапка таблицы 15" xfId="16739"/>
    <cellStyle name="Шапка таблицы 16" xfId="16740"/>
    <cellStyle name="Шапка таблицы 17" xfId="16741"/>
    <cellStyle name="Шапка таблицы 18" xfId="16742"/>
    <cellStyle name="Шапка таблицы 19" xfId="16743"/>
    <cellStyle name="Шапка таблицы 2" xfId="16744"/>
    <cellStyle name="Шапка таблицы 2 2" xfId="16745"/>
    <cellStyle name="Шапка таблицы 2 2 2" xfId="16746"/>
    <cellStyle name="Шапка таблицы 2 2 3" xfId="16747"/>
    <cellStyle name="Шапка таблицы 2 2 4" xfId="16748"/>
    <cellStyle name="Шапка таблицы 2 3" xfId="16749"/>
    <cellStyle name="Шапка таблицы 2 4" xfId="16750"/>
    <cellStyle name="Шапка таблицы 2 5" xfId="16751"/>
    <cellStyle name="Шапка таблицы 20" xfId="16752"/>
    <cellStyle name="Шапка таблицы 21" xfId="16753"/>
    <cellStyle name="Шапка таблицы 22" xfId="16754"/>
    <cellStyle name="Шапка таблицы 23" xfId="16755"/>
    <cellStyle name="Шапка таблицы 24" xfId="16756"/>
    <cellStyle name="Шапка таблицы 25" xfId="16757"/>
    <cellStyle name="Шапка таблицы 26" xfId="16758"/>
    <cellStyle name="Шапка таблицы 27" xfId="16759"/>
    <cellStyle name="Шапка таблицы 28" xfId="16760"/>
    <cellStyle name="Шапка таблицы 29" xfId="16761"/>
    <cellStyle name="Шапка таблицы 3" xfId="16762"/>
    <cellStyle name="Шапка таблицы 3 2" xfId="16763"/>
    <cellStyle name="Шапка таблицы 3 2 2" xfId="16764"/>
    <cellStyle name="Шапка таблицы 3 2 3" xfId="16765"/>
    <cellStyle name="Шапка таблицы 3 2 4" xfId="16766"/>
    <cellStyle name="Шапка таблицы 3 3" xfId="16767"/>
    <cellStyle name="Шапка таблицы 3 4" xfId="16768"/>
    <cellStyle name="Шапка таблицы 3 5" xfId="16769"/>
    <cellStyle name="Шапка таблицы 30" xfId="16770"/>
    <cellStyle name="Шапка таблицы 31" xfId="16771"/>
    <cellStyle name="Шапка таблицы 32" xfId="16772"/>
    <cellStyle name="Шапка таблицы 33" xfId="16773"/>
    <cellStyle name="Шапка таблицы 34" xfId="16774"/>
    <cellStyle name="Шапка таблицы 35" xfId="16775"/>
    <cellStyle name="Шапка таблицы 36" xfId="16776"/>
    <cellStyle name="Шапка таблицы 37" xfId="16777"/>
    <cellStyle name="Шапка таблицы 38" xfId="16778"/>
    <cellStyle name="Шапка таблицы 39" xfId="16779"/>
    <cellStyle name="Шапка таблицы 4" xfId="16780"/>
    <cellStyle name="Шапка таблицы 4 2" xfId="16781"/>
    <cellStyle name="Шапка таблицы 4 2 2" xfId="16782"/>
    <cellStyle name="Шапка таблицы 4 2 3" xfId="16783"/>
    <cellStyle name="Шапка таблицы 4 2 4" xfId="16784"/>
    <cellStyle name="Шапка таблицы 4 3" xfId="16785"/>
    <cellStyle name="Шапка таблицы 4 4" xfId="16786"/>
    <cellStyle name="Шапка таблицы 4 5" xfId="16787"/>
    <cellStyle name="Шапка таблицы 40" xfId="16788"/>
    <cellStyle name="Шапка таблицы 41" xfId="16789"/>
    <cellStyle name="Шапка таблицы 42" xfId="16790"/>
    <cellStyle name="Шапка таблицы 5" xfId="16791"/>
    <cellStyle name="Шапка таблицы 5 2" xfId="16792"/>
    <cellStyle name="Шапка таблицы 5 3" xfId="16793"/>
    <cellStyle name="Шапка таблицы 5 4" xfId="16794"/>
    <cellStyle name="Шапка таблицы 6" xfId="16795"/>
    <cellStyle name="Шапка таблицы 7" xfId="16796"/>
    <cellStyle name="Шапка таблицы 8" xfId="16797"/>
    <cellStyle name="Шапка таблицы 9" xfId="16798"/>
    <cellStyle name="Шапка_4DNS.UPDATE.EXAMPLE" xfId="16799"/>
    <cellStyle name="ШАУ" xfId="16800"/>
    <cellStyle name="ШАУ 2" xfId="16801"/>
    <cellStyle name="ШАУ 2 2" xfId="16802"/>
    <cellStyle name="ШАУ 2 2 2" xfId="16803"/>
    <cellStyle name="ШАУ 2 2 3" xfId="16804"/>
    <cellStyle name="ШАУ 2 2 4" xfId="16805"/>
    <cellStyle name="ШАУ 2 3" xfId="16806"/>
    <cellStyle name="ШАУ 2 4" xfId="16807"/>
    <cellStyle name="ШАУ 2 5" xfId="16808"/>
    <cellStyle name="ШАУ 3" xfId="16809"/>
    <cellStyle name="ШАУ 3 2" xfId="16810"/>
    <cellStyle name="ШАУ 3 2 2" xfId="16811"/>
    <cellStyle name="ШАУ 3 2 3" xfId="16812"/>
    <cellStyle name="ШАУ 3 2 4" xfId="16813"/>
    <cellStyle name="ШАУ 3 3" xfId="16814"/>
    <cellStyle name="ШАУ 3 4" xfId="16815"/>
    <cellStyle name="ШАУ 3 5" xfId="16816"/>
    <cellStyle name="ШАУ 4" xfId="16817"/>
    <cellStyle name="ШАУ 4 2" xfId="16818"/>
    <cellStyle name="ШАУ 4 2 2" xfId="16819"/>
    <cellStyle name="ШАУ 4 2 3" xfId="16820"/>
    <cellStyle name="ШАУ 4 2 4" xfId="16821"/>
    <cellStyle name="ШАУ 4 3" xfId="16822"/>
    <cellStyle name="ШАУ 4 4" xfId="16823"/>
    <cellStyle name="ШАУ 4 5" xfId="16824"/>
    <cellStyle name="ШАУ 5" xfId="16825"/>
    <cellStyle name="ШАУ 5 2" xfId="16826"/>
    <cellStyle name="ШАУ 5 3" xfId="16827"/>
    <cellStyle name="ШАУ 5 4" xfId="16828"/>
    <cellStyle name="ШАУ 6" xfId="16829"/>
    <cellStyle name="ШАУ 7" xfId="16830"/>
    <cellStyle name="ШАУ 8" xfId="16831"/>
    <cellStyle name="ܘ_x0008_" xfId="16832"/>
    <cellStyle name="ܘ_x0008_?䈌Ȏ㘛䤀ጛܛ_x0008_?䨐Ȏ㘛䤀ጛܛ_x0008_?䉜Ȏ㘛伀ᤛ" xfId="16833"/>
    <cellStyle name="ܘ_x0008_?䈌Ȏ㘛䤀ጛܛ_x0008_?䨐Ȏ㘛䤀ጛܛ_x0008_?䉜Ȏ㘛伀ᤛ 1" xfId="16834"/>
    <cellStyle name="ܛ_x0008_" xfId="16835"/>
    <cellStyle name="ܛ_x0008_?䉜Ȏ㘛伀ᤛܛ_x0008_?偬Ȏ?ഀ഍č_x0001_?䊴Ȏ?ကတĐ_x0001_Ҡ" xfId="16836"/>
    <cellStyle name="ܛ_x0008_?䉜Ȏ㘛伀ᤛܛ_x0008_?偬Ȏ?ഀ഍č_x0001_?䊴Ȏ?ကတĐ_x0001_Ҡ 1" xfId="16837"/>
    <cellStyle name="ܛ_x0008_?䉜Ȏ㘛伀ᤛܛ_x0008_?偬Ȏ?ഀ഍č_x0001_?䊴Ȏ?ကတĐ_x0001_Ҡ_БДР С44о БДДС ок03" xfId="16838"/>
    <cellStyle name="標準_0009E" xfId="16839"/>
    <cellStyle name="㐀കܒ_x0008_" xfId="16840"/>
    <cellStyle name="㐀കܒ_x0008_?䆴Ȏ㘛伀ᤛܛ_x0008_?䧀Ȏ〘䤀ᤘ" xfId="16841"/>
    <cellStyle name="㐀കܒ_x0008_?䆴Ȏ㘛伀ᤛܛ_x0008_?䧀Ȏ〘䤀ᤘ 1" xfId="16842"/>
    <cellStyle name="㐀കܒ_x0008_?䆴Ȏ㘛伀ᤛܛ_x0008_?䧀Ȏ〘䤀ᤘ_БДР С44о БДДС ок03" xfId="16843"/>
    <cellStyle name="䁺_x0001_" xfId="16844"/>
  </cellStyles>
  <dxfs count="0"/>
  <tableStyles count="0" defaultTableStyle="TableStyleMedium2" defaultPivotStyle="PivotStyleLight16"/>
  <colors>
    <mruColors>
      <color rgb="FF0000CC"/>
      <color rgb="FF66FFFF"/>
      <color rgb="FFFF00FF"/>
      <color rgb="FFF7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371475</xdr:colOff>
      <xdr:row>2</xdr:row>
      <xdr:rowOff>0</xdr:rowOff>
    </xdr:to>
    <xdr:pic macro="[10]!modGeneralAPI.PRINTABLE_MODE_TRIGGER">
      <xdr:nvPicPr>
        <xdr:cNvPr id="2" name="PRINTABLE_MODE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0007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o-03.VK39\Desktop\&#1045;&#1048;&#1040;&#1057;\2018\&#1056;&#1077;&#1077;&#1089;&#1090;&#1088;&#1099;%20&#1086;&#1073;&#1098;&#1077;&#1082;&#1090;&#1099;%202018%20&#1075;&#1086;&#1076;\REESTR.VSNA.SOURCE.2018%20&#1085;&#1086;&#1074;&#1099;&#1081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o313-08\AppData\Local\Microsoft\Windows\Temporary%20Internet%20Files\Content.Outlook\VFRWFIA7\BALANCE.CALC.TARIFF.VSNA.2019.FACT%20&#1052;&#1055;%20&#1055;&#1059;%20&#1042;&#1086;&#1076;&#1086;&#1082;&#1072;&#1085;&#1072;&#1083;+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3;&#1103;%20&#1074;&#1089;&#1077;&#1093;%20&#1087;&#1086;&#1083;&#1100;&#1079;&#1086;&#1074;&#1072;&#1090;&#1077;&#1083;&#1077;&#1081;\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\2018%20&#1056;&#1077;&#1077;&#1089;&#1090;&#1088;%20&#1086;&#1073;&#1098;&#1077;&#1082;&#1090;&#1086;&#1074;%20&#1080;&#1085;&#1092;&#1088;&#1072;&#1089;&#1090;&#1088;&#1091;&#1082;&#1090;&#1091;&#1088;&#1099;%20&#1042;&#1057;%20&#1042;&#1054;\2018%20&#1047;&#1072;&#1075;&#1088;&#1091;&#1078;&#1077;&#1085;&#1085;&#1099;&#1077;%20&#1072;&#1090;&#1086;&#1084;&#1072;&#1088;&#1085;&#1099;&#1077;%20&#1096;&#1072;&#1073;&#1083;&#1086;&#1085;&#1099;%20&#1087;&#1086;%20&#1088;&#1077;&#1077;&#1089;&#1090;&#1088;&#1072;&#1084;\21.02.2018\REESTR.VSNA.SOURCE.2018%20&#1059;&#1050;%20&#1053;&#1072;&#1076;&#1077;&#1078;&#1076;&#1072;+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2\Documents\!&#1058;&#1040;&#1056;&#1048;&#1060;&#1067;%20&#1042;&#1057;%20&#1080;%20&#1042;&#1054;\&#1056;&#1077;&#1075;&#1091;&#1083;&#1080;&#1088;&#1086;&#1074;&#1072;&#1085;&#1080;&#1077;%20&#1085;&#1072;%202018\!17%20&#1052;&#1055;%20&#1050;&#1061;%20&#1042;&#1086;&#1076;&#1086;&#1082;&#1072;&#1085;&#1072;&#1083;%20&#1050;&#1072;&#1083;&#1080;&#1085;&#1080;&#1085;&#1075;&#1088;&#1072;&#1076;%20&#1042;&#1057;,%20&#1042;&#1054;%2018.12.2017\!&#1082;&#1086;&#1088;&#1088;&#1077;&#1082;&#1090;&#1080;&#1088;&#1086;&#1074;&#1082;&#1072;%20&#1085;&#1072;%202018%20&#1075;&#1086;&#1076;\&#1050;&#1072;&#1083;&#1100;&#1082;&#1091;&#1083;&#1103;&#1094;&#1080;&#1103;%20&#1041;&#1072;&#1083;&#1090;&#1080;&#1081;&#1089;&#1082;&#1080;&#1081;%20&#1052;&#1086;&#1083;&#1083;%20&#1074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3;&#1103;%20&#1074;&#1089;&#1077;&#1093;%20&#1087;&#1086;&#1083;&#1100;&#1079;&#1086;&#1074;&#1072;&#1090;&#1077;&#1083;&#1077;&#1081;\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\2018%20&#1056;&#1077;&#1077;&#1089;&#1090;&#1088;%20&#1086;&#1073;&#1098;&#1077;&#1082;&#1090;&#1086;&#1074;%20&#1080;&#1085;&#1092;&#1088;&#1072;&#1089;&#1090;&#1088;&#1091;&#1082;&#1090;&#1091;&#1088;&#1099;%20&#1042;&#1057;%20&#1042;&#1054;\2018%20&#1047;&#1072;&#1075;&#1088;&#1091;&#1078;&#1077;&#1085;&#1085;&#1099;&#1077;%20&#1072;&#1090;&#1086;&#1084;&#1072;&#1088;&#1085;&#1099;&#1077;%20&#1096;&#1072;&#1073;&#1083;&#1086;&#1085;&#1099;%20&#1087;&#1086;%20&#1088;&#1077;&#1077;&#1089;&#1090;&#1088;&#1072;&#1084;\21.02.2018\REESTR.VOTV.SOURCE.2018%20&#1059;&#1050;%20&#1053;&#1072;&#1076;&#1077;&#1078;&#1076;&#1072;+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o313-08\Downloads\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%20%20-%20&#1076;&#1083;&#1103;%20&#1057;&#1083;&#1091;&#1078;&#1073;&#1099;%20-%20&#1054;&#1058;&#1055;&#1056;&#1040;&#1042;&#1050;&#1040;%20&#1052;&#1040;&#1049;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o-03.VK39\AppData\Local\Microsoft\Windows\Temporary%20Internet%20Files\Content.Outlook\EIGAAPCI\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-12.12.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6;&#1074;&#1086;&#1088;&#1086;&#1074;&#1089;&#1082;&#1072;&#1103;\&#1048;&#1085;&#1074;&#1077;&#1089;&#1090;&#1080;&#1094;&#1080;&#1086;&#1085;&#1085;&#1072;&#1103;%20&#1087;&#1088;&#1086;&#1075;&#1088;&#1072;&#1084;&#1084;&#1072;%202019-2021\&#1082;&#1086;&#1088;&#1088;&#1077;&#1082;&#1090;&#1080;&#1088;&#1086;&#1074;&#1082;&#1072;%20&#1048;&#1055;\&#1082;&#1086;&#1088;&#1088;&#1077;&#1082;&#1090;.%20&#1084;&#1077;&#1088;&#1086;&#1087;&#1088;&#1080;&#1103;&#1090;&#1080;&#1081;%20&#1087;&#1086;%20&#1079;&#1072;&#1084;&#1077;&#1095;&#1072;&#1085;&#1080;&#1103;&#1084;%20&#1060;&#1057;&#1058;%20%2017.10.19\&#1074;&#1072;&#1088;%205.%20&#1084;&#1077;&#1088;&#1086;&#1087;&#1088;&#1080;&#1103;&#1090;&#1080;&#1103;%20%20&#1048;&#1055;2019-2021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  <sheetName val="REESTR.VSNA.SOURCE.2018 новый"/>
    </sheetNames>
    <sheetDataSet>
      <sheetData sheetId="0">
        <row r="3">
          <cell r="B3" t="str">
            <v>Версия 1.0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10">
          <cell r="G10" t="str">
            <v>Калининградская область</v>
          </cell>
        </row>
        <row r="13">
          <cell r="G13" t="str">
            <v>Муниципальное предприятие коммунального хозяйства "Водоканал" городского округа "город Калининград"</v>
          </cell>
        </row>
        <row r="14">
          <cell r="G14" t="str">
            <v>+740120667667</v>
          </cell>
        </row>
        <row r="15">
          <cell r="G15" t="str">
            <v>+74012667600</v>
          </cell>
        </row>
        <row r="18">
          <cell r="G18" t="str">
            <v>Шумская Жанна Витальевна</v>
          </cell>
        </row>
        <row r="19">
          <cell r="G19" t="str">
            <v>начальник ФЭО</v>
          </cell>
        </row>
        <row r="20">
          <cell r="G20" t="str">
            <v>+74012667514</v>
          </cell>
        </row>
        <row r="21">
          <cell r="G21" t="str">
            <v>shumskaya.zh@vk39,ru</v>
          </cell>
        </row>
        <row r="24">
          <cell r="G24" t="str">
            <v>Иващенко Александр Николаевич</v>
          </cell>
        </row>
        <row r="25">
          <cell r="G25" t="str">
            <v>+74012667667</v>
          </cell>
        </row>
      </sheetData>
      <sheetData sheetId="4"/>
      <sheetData sheetId="5">
        <row r="1">
          <cell r="D1" t="str">
            <v>да</v>
          </cell>
        </row>
        <row r="2">
          <cell r="T2">
            <v>2018</v>
          </cell>
        </row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6"/>
      <sheetData sheetId="7">
        <row r="47">
          <cell r="AT47" t="str">
            <v>L_PR_IC</v>
          </cell>
          <cell r="AU47" t="str">
            <v>L_PR_CL</v>
          </cell>
          <cell r="AV47" t="str">
            <v>L_PR_TP_COUNT</v>
          </cell>
          <cell r="BC47" t="str">
            <v>L_PR_DEPRECIATION</v>
          </cell>
          <cell r="DP47" t="str">
            <v>L_TR_SL_IC</v>
          </cell>
          <cell r="DQ47" t="str">
            <v>L_TR_SL_CL</v>
          </cell>
          <cell r="DR47" t="str">
            <v>L_TR_SL_TP_COUNT</v>
          </cell>
          <cell r="EI47" t="str">
            <v>L_TR_SL_L_HEAT_TOTAL</v>
          </cell>
          <cell r="EJ47" t="str">
            <v>L_TR_SL_L_HEAT_50_250</v>
          </cell>
          <cell r="EK47" t="str">
            <v>L_TR_SL_L_HEAT_251_400</v>
          </cell>
          <cell r="EL47" t="str">
            <v>L_TR_SL_L_HEAT_401_550</v>
          </cell>
          <cell r="EM47" t="str">
            <v>L_TR_SL_L_HEAT_551_700</v>
          </cell>
          <cell r="EN47" t="str">
            <v>L_TR_SL_L_HEAT_701</v>
          </cell>
          <cell r="EO47" t="str">
            <v>L_TR_SL_L_HVSN_TOTAL</v>
          </cell>
          <cell r="EP47" t="str">
            <v>L_TR_SL_L_HVSN_50_250</v>
          </cell>
          <cell r="EQ47" t="str">
            <v>L_TR_SL_L_HVSN_251_400</v>
          </cell>
          <cell r="ER47" t="str">
            <v>L_TR_SL_L_HVSN_401_550</v>
          </cell>
          <cell r="ES47" t="str">
            <v>L_TR_SL_L_HVSN_551_700</v>
          </cell>
          <cell r="ET47" t="str">
            <v>L_TR_SL_L_HVSN_701</v>
          </cell>
          <cell r="EU47" t="str">
            <v>L_TR_SL_L_HEAT_OVER_TOTAL</v>
          </cell>
          <cell r="EV47" t="str">
            <v>L_TR_SL_L_HEAT_OVER_50_250</v>
          </cell>
          <cell r="EW47" t="str">
            <v>L_TR_SL_L_HEAT_OVER_251_400</v>
          </cell>
          <cell r="EX47" t="str">
            <v>L_TR_SL_L_HEAT_OVER_401_550</v>
          </cell>
          <cell r="EY47" t="str">
            <v>L_TR_SL_L_HEAT_OVER_551_700</v>
          </cell>
          <cell r="EZ47" t="str">
            <v>L_TR_SL_L_HEAT_OVER_701</v>
          </cell>
          <cell r="FA47" t="str">
            <v>L_TR_SL_L_HVSN_OVER_TOTAL</v>
          </cell>
          <cell r="FB47" t="str">
            <v>L_TR_SL_L_HVSN_OVER_50_250</v>
          </cell>
          <cell r="FC47" t="str">
            <v>L_TR_SL_L_HVSN_OVER_251_400</v>
          </cell>
          <cell r="FD47" t="str">
            <v>L_TR_SL_L_HVSN_OVER_401_550</v>
          </cell>
          <cell r="FE47" t="str">
            <v>L_TR_SL_L_HVSN_OVER_551_700</v>
          </cell>
          <cell r="FF47" t="str">
            <v>L_TR_SL_L_HVSN_OVER_701</v>
          </cell>
          <cell r="FG47" t="str">
            <v>L_TR_SL_L_HEAT_U_CH_TOTAL</v>
          </cell>
          <cell r="FH47" t="str">
            <v>L_TR_SL_L_HEAT_U_CH_50_250</v>
          </cell>
          <cell r="FI47" t="str">
            <v>L_TR_SL_L_HEAT_U_CH_251_400</v>
          </cell>
          <cell r="FJ47" t="str">
            <v>L_TR_SL_L_HEAT_U_CH_401_550</v>
          </cell>
          <cell r="FK47" t="str">
            <v>L_TR_SL_L_HEAT_U_CH_551_700</v>
          </cell>
          <cell r="FL47" t="str">
            <v>L_TR_SL_L_HEAT_U_CH_701</v>
          </cell>
          <cell r="FM47" t="str">
            <v>L_TR_SL_L_HVSN_U_CH_TOTAL</v>
          </cell>
          <cell r="FN47" t="str">
            <v>L_TR_SL_L_HVSN_U_CH_50_250</v>
          </cell>
          <cell r="FO47" t="str">
            <v>L_TR_SL_L_HVSN_U_CH_251_400</v>
          </cell>
          <cell r="FP47" t="str">
            <v>L_TR_SL_L_HVSN_U_CH_401_550</v>
          </cell>
          <cell r="FQ47" t="str">
            <v>L_TR_SL_L_HVSN_U_CH_551_700</v>
          </cell>
          <cell r="FR47" t="str">
            <v>L_TR_SL_L_HVSN_U_CH_701</v>
          </cell>
          <cell r="FS47" t="str">
            <v>L_TR_SL_L_HEAT_U_NONCH_TOTAL</v>
          </cell>
          <cell r="FT47" t="str">
            <v>L_TR_SL_L_HEAT_U_NONCH_50_250</v>
          </cell>
          <cell r="FU47" t="str">
            <v>L_TR_SL_L_HEAT_U_NONCH_251_400</v>
          </cell>
          <cell r="FV47" t="str">
            <v>L_TR_SL_L_HEAT_U_NONCH_401_550</v>
          </cell>
          <cell r="FW47" t="str">
            <v>L_TR_SL_L_HEAT_U_NONCH_551_700</v>
          </cell>
          <cell r="FX47" t="str">
            <v>L_TR_SL_L_HEAT_U_NONCH_701</v>
          </cell>
          <cell r="FY47" t="str">
            <v>L_TR_SL_L_HVSN_U_NONCH_TOTAL</v>
          </cell>
          <cell r="FZ47" t="str">
            <v>L_TR_SL_L_HVSN_U_NONCH_50_250</v>
          </cell>
          <cell r="GA47" t="str">
            <v>L_TR_SL_L_HVSN_U_NONCH_251_400</v>
          </cell>
          <cell r="GB47" t="str">
            <v>L_TR_SL_L_HVSN_U_NONCH_401_550</v>
          </cell>
          <cell r="GC47" t="str">
            <v>L_TR_SL_L_HVSN_U_NONCH_551_700</v>
          </cell>
          <cell r="GD47" t="str">
            <v>L_TR_SL_L_HVSN_U_NONCH_701</v>
          </cell>
          <cell r="GE47" t="str">
            <v>L_TR_SL_DEPRECIATION</v>
          </cell>
        </row>
      </sheetData>
      <sheetData sheetId="8"/>
      <sheetData sheetId="9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L_TR_L_VOTV_TOTAL</v>
          </cell>
          <cell r="EJ47" t="str">
            <v>L_TR_L_VOTV_50_250</v>
          </cell>
          <cell r="EK47" t="str">
            <v>L_TR_L_VOTV_251_400</v>
          </cell>
          <cell r="EL47" t="str">
            <v>L_TR_L_VOTV_401_550</v>
          </cell>
          <cell r="EM47" t="str">
            <v>L_TR_L_VOTV_551_700</v>
          </cell>
          <cell r="EN47" t="str">
            <v>L_TR_L_VOTV_701</v>
          </cell>
          <cell r="EU47" t="str">
            <v>L_TR_L_VOTV_OVER_TOTAL</v>
          </cell>
          <cell r="EV47" t="str">
            <v>L_TR_L_VOTV_OVER_50_250</v>
          </cell>
          <cell r="EW47" t="str">
            <v>L_TR_L_VOTV_OVER_251_400</v>
          </cell>
          <cell r="EX47" t="str">
            <v>L_TR_L_VOTV_OVER_401_550</v>
          </cell>
          <cell r="EY47" t="str">
            <v>L_TR_L_VOTV_OVER_551_700</v>
          </cell>
          <cell r="EZ47" t="str">
            <v>L_TR_L_VOTV_OVER_701</v>
          </cell>
          <cell r="FG47" t="str">
            <v>L_TR_L_VOTV_U_CH_TOTAL</v>
          </cell>
          <cell r="FH47" t="str">
            <v>L_TR_L_VOTV_U_CH_50_250</v>
          </cell>
          <cell r="FI47" t="str">
            <v>L_TR_L_VOTV_U_CH_251_400</v>
          </cell>
          <cell r="FJ47" t="str">
            <v>L_TR_L_VOTV_U_CH_401_550</v>
          </cell>
          <cell r="FK47" t="str">
            <v>L_TR_L_VOTV_U_CH_551_700</v>
          </cell>
          <cell r="FL47" t="str">
            <v>L_TR_L_VOTV_U_CH_701</v>
          </cell>
          <cell r="FS47" t="str">
            <v>L_TR_L_VOTV_U_NONCH_TOTAL</v>
          </cell>
          <cell r="FT47" t="str">
            <v>L_TR_L_VOTV_U_NONCH_50_250</v>
          </cell>
          <cell r="FU47" t="str">
            <v>L_TR_L_VOTV_U_NONCH_251_400</v>
          </cell>
          <cell r="FV47" t="str">
            <v>L_TR_L_VOTV_U_NONCH_401_550</v>
          </cell>
          <cell r="FW47" t="str">
            <v>L_TR_L_VOTV_U_NONCH_551_700</v>
          </cell>
          <cell r="FX47" t="str">
            <v>L_TR_L_VOTV_U_NONCH_701</v>
          </cell>
          <cell r="GE47" t="str">
            <v>L_TR_DEPRECIATION</v>
          </cell>
        </row>
      </sheetData>
      <sheetData sheetId="10">
        <row r="4">
          <cell r="H4" t="str">
            <v>Отчёт заполняется от организации (организаций)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торги</v>
          </cell>
        </row>
        <row r="59">
          <cell r="B59" t="str">
            <v>135000</v>
          </cell>
        </row>
        <row r="60">
          <cell r="B60" t="str">
            <v>135000</v>
          </cell>
        </row>
        <row r="61">
          <cell r="B61" t="str">
            <v>1350</v>
          </cell>
        </row>
        <row r="62">
          <cell r="B62" t="str">
            <v>0</v>
          </cell>
        </row>
        <row r="63">
          <cell r="B63" t="str">
            <v>0.05</v>
          </cell>
        </row>
        <row r="64">
          <cell r="B64" t="str">
            <v>0</v>
          </cell>
        </row>
        <row r="65">
          <cell r="B65" t="str">
            <v>договор</v>
          </cell>
        </row>
        <row r="66">
          <cell r="B66" t="str">
            <v>свидетельство</v>
          </cell>
        </row>
        <row r="67">
          <cell r="B67" t="str">
            <v>соглашение</v>
          </cell>
        </row>
        <row r="68">
          <cell r="B68" t="str">
            <v>постановление</v>
          </cell>
        </row>
        <row r="69">
          <cell r="B69" t="str">
            <v>распоряжение</v>
          </cell>
        </row>
        <row r="70">
          <cell r="B70" t="str">
            <v>решение</v>
          </cell>
        </row>
        <row r="71">
          <cell r="B71" t="str">
            <v>приказ</v>
          </cell>
        </row>
        <row r="72">
          <cell r="B72" t="str">
            <v>лицензия</v>
          </cell>
        </row>
        <row r="73">
          <cell r="B73" t="str">
            <v>акт приёма-передачи</v>
          </cell>
        </row>
        <row r="74">
          <cell r="B74" t="str">
            <v>государственный контракт</v>
          </cell>
        </row>
        <row r="75">
          <cell r="B75" t="str">
            <v>балансовая справка</v>
          </cell>
        </row>
        <row r="76">
          <cell r="B76" t="str">
            <v>кадастровый паспорт</v>
          </cell>
        </row>
        <row r="77">
          <cell r="B77" t="str">
            <v>технический паспорт</v>
          </cell>
        </row>
        <row r="78">
          <cell r="B78" t="str">
            <v>устав</v>
          </cell>
        </row>
        <row r="79">
          <cell r="B79" t="str">
            <v>акт ввода в эксплуатацию</v>
          </cell>
        </row>
        <row r="80">
          <cell r="B80" t="str">
            <v>план приватизации</v>
          </cell>
        </row>
        <row r="81">
          <cell r="B81" t="str">
            <v>разрешение на ввод объекта в эксплуатацию</v>
          </cell>
        </row>
        <row r="82">
          <cell r="B82" t="str">
            <v>документов нет вообще</v>
          </cell>
        </row>
        <row r="83">
          <cell r="B83" t="str">
            <v>предложить ещё варианты ...</v>
          </cell>
        </row>
        <row r="84">
          <cell r="B84" t="str">
            <v>аренда</v>
          </cell>
        </row>
        <row r="85">
          <cell r="B85" t="str">
            <v>безвозмездное пользование</v>
          </cell>
        </row>
        <row r="86">
          <cell r="B86" t="str">
            <v>концессионное соглашение</v>
          </cell>
        </row>
        <row r="87">
          <cell r="B87" t="str">
            <v>оперативное управление</v>
          </cell>
        </row>
        <row r="88">
          <cell r="B88" t="str">
            <v>собственность</v>
          </cell>
        </row>
        <row r="89">
          <cell r="B89" t="str">
            <v>хозяйственное ведение</v>
          </cell>
        </row>
        <row r="90">
          <cell r="B90" t="str">
            <v>договор хранения</v>
          </cell>
        </row>
        <row r="91">
          <cell r="B91" t="str">
            <v>договор эксплуатации</v>
          </cell>
        </row>
        <row r="92">
          <cell r="B92" t="str">
            <v>договор обслуживания</v>
          </cell>
        </row>
        <row r="93">
          <cell r="B93" t="str">
            <v>бесхозяйный объект</v>
          </cell>
        </row>
        <row r="94">
          <cell r="B94" t="str">
            <v>договор инвестирования</v>
          </cell>
        </row>
        <row r="95">
          <cell r="B95" t="str">
            <v>доверительное управление</v>
          </cell>
        </row>
        <row r="96">
          <cell r="B96" t="str">
            <v>предложить ещё варианты ...</v>
          </cell>
        </row>
        <row r="97">
          <cell r="B97" t="str">
            <v>магистральная</v>
          </cell>
        </row>
        <row r="98">
          <cell r="B98" t="str">
            <v>разводящая</v>
          </cell>
        </row>
        <row r="99">
          <cell r="B99" t="str">
            <v>магистральная и разводящая</v>
          </cell>
        </row>
        <row r="100">
          <cell r="B100" t="str">
            <v>квартальная</v>
          </cell>
        </row>
        <row r="101">
          <cell r="B101" t="str">
            <v>уличная</v>
          </cell>
        </row>
        <row r="102">
          <cell r="B102" t="str">
            <v>дворовая</v>
          </cell>
        </row>
        <row r="103">
          <cell r="B103" t="str">
            <v>транзитная</v>
          </cell>
        </row>
        <row r="104">
          <cell r="B104" t="str">
            <v>технологическая</v>
          </cell>
        </row>
        <row r="105">
          <cell r="B105" t="str">
            <v>предложить ещё варианты ...</v>
          </cell>
        </row>
        <row r="106">
          <cell r="B106" t="str">
            <v>сезонный</v>
          </cell>
        </row>
        <row r="107">
          <cell r="B107" t="str">
            <v>круглогодичный</v>
          </cell>
        </row>
      </sheetData>
      <sheetData sheetId="18">
        <row r="2">
          <cell r="E2" t="str">
            <v>Балтийский муниципальный район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В указанной папке файлов не найдено!!!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modSheetTitle"/>
      <sheetName val="Список территорий"/>
      <sheetName val="Список объектов"/>
      <sheetName val="КС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Комментарии"/>
      <sheetName val="Проверка"/>
      <sheetName val="REESTR_MO"/>
      <sheetName val="REESTR_LOCATION"/>
      <sheetName val="REESTR_CNCSN_IP"/>
      <sheetName val="AUTHORISATION"/>
      <sheetName val="DICTIONARIES"/>
      <sheetName val="FILE_STORE_DATA"/>
      <sheetName val="PLAN1X_LIST_ORG"/>
      <sheetName val="PLAN1X_LIST_MO"/>
      <sheetName val="PLAN1X_LIST_SUBSIDIARY"/>
      <sheetName val="PLAN1X_LIST_DPR"/>
      <sheetName val="PLAN1X_LIST_SRC"/>
      <sheetName val="PLAN1X_LIST_TMX"/>
      <sheetName val="PLAN1X_LIST_CNCSN"/>
      <sheetName val="modGetGeoBase"/>
      <sheetName val="modInfo"/>
      <sheetName val="modUIButtons"/>
      <sheetName val="modVLDCommon"/>
      <sheetName val="modVLDIntegrity"/>
      <sheetName val="modVLDData"/>
      <sheetName val="modGeneralAPI"/>
      <sheetName val="modBalPr"/>
      <sheetName val="modBalTr"/>
      <sheetName val="modCalc"/>
      <sheetName val="modFuel"/>
      <sheetName val="modReagent"/>
      <sheetName val="modListMO"/>
      <sheetName val="modListObjects"/>
      <sheetName val="modListCncsn"/>
      <sheetName val="modRequestSpecificData"/>
      <sheetName val="modRequestGenericData"/>
      <sheetName val="modfrmRegion"/>
      <sheetName val="modServiceAPI"/>
      <sheetName val="modVLDGeneral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PLAN1XCheckIn"/>
      <sheetName val="modfrmPLAN1XUpdate"/>
      <sheetName val="modfrmReportMode"/>
      <sheetName val="modPOSTData"/>
      <sheetName val="modfrmDPRConstructor"/>
      <sheetName val="BALANCE.CALC.TARIFF.VSNA.2019"/>
    </sheetNames>
    <definedNames>
      <definedName name="modGeneralAPI.PRINTABLE_MODE_TRIGGER"/>
    </definedNames>
    <sheetDataSet>
      <sheetData sheetId="0"/>
      <sheetData sheetId="1"/>
      <sheetData sheetId="2"/>
      <sheetData sheetId="3"/>
      <sheetData sheetId="4">
        <row r="16">
          <cell r="G16" t="str">
            <v>Городской округ Советский</v>
          </cell>
          <cell r="H16" t="str">
            <v>Городской округ Советский</v>
          </cell>
          <cell r="I16" t="str">
            <v>27730000</v>
          </cell>
          <cell r="M16" t="str">
            <v>да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AT15" t="str">
            <v>1_Y</v>
          </cell>
          <cell r="AU15" t="str">
            <v>1_I</v>
          </cell>
          <cell r="AV15" t="str">
            <v>1_II</v>
          </cell>
        </row>
        <row r="240">
          <cell r="AT240">
            <v>2569.2910000000002</v>
          </cell>
          <cell r="AU240">
            <v>1260.152</v>
          </cell>
          <cell r="AV240">
            <v>1309.1389999999999</v>
          </cell>
        </row>
      </sheetData>
      <sheetData sheetId="19">
        <row r="27">
          <cell r="AO27" t="str">
            <v>тыс.руб.</v>
          </cell>
        </row>
        <row r="29">
          <cell r="AO29" t="str">
            <v>тыс.руб.</v>
          </cell>
        </row>
        <row r="30">
          <cell r="AO30" t="str">
            <v>руб./ед.</v>
          </cell>
        </row>
        <row r="31">
          <cell r="AO31" t="str">
            <v>ед.</v>
          </cell>
        </row>
        <row r="32">
          <cell r="AO32" t="str">
            <v>тыс.руб.</v>
          </cell>
        </row>
        <row r="33">
          <cell r="AO33" t="str">
            <v>руб./ед.</v>
          </cell>
        </row>
        <row r="34">
          <cell r="AO34" t="str">
            <v>ед.</v>
          </cell>
        </row>
        <row r="35">
          <cell r="AO35" t="str">
            <v>тыс.руб.</v>
          </cell>
        </row>
        <row r="36">
          <cell r="AO36" t="str">
            <v>руб./ед.</v>
          </cell>
        </row>
        <row r="37">
          <cell r="AO37" t="str">
            <v>ед.</v>
          </cell>
        </row>
        <row r="38">
          <cell r="AO38" t="str">
            <v>тыс.руб.</v>
          </cell>
        </row>
        <row r="39">
          <cell r="AO39" t="str">
            <v>руб./ед.</v>
          </cell>
        </row>
        <row r="40">
          <cell r="AO40" t="str">
            <v>ед.</v>
          </cell>
        </row>
        <row r="41">
          <cell r="AO41" t="str">
            <v>тыс.руб.</v>
          </cell>
        </row>
        <row r="42">
          <cell r="AO42" t="str">
            <v>руб./ед.</v>
          </cell>
        </row>
        <row r="43">
          <cell r="AO43" t="str">
            <v>ед.</v>
          </cell>
        </row>
        <row r="44">
          <cell r="AO44" t="str">
            <v>тыс.руб.</v>
          </cell>
        </row>
        <row r="45">
          <cell r="AO45" t="str">
            <v>руб./ед.</v>
          </cell>
        </row>
        <row r="46">
          <cell r="AO46" t="str">
            <v>ед.</v>
          </cell>
        </row>
        <row r="47">
          <cell r="AO47" t="str">
            <v>тыс.руб.</v>
          </cell>
        </row>
        <row r="48">
          <cell r="AO48" t="str">
            <v>руб./ед.</v>
          </cell>
        </row>
        <row r="49">
          <cell r="AO49" t="str">
            <v>ед.</v>
          </cell>
        </row>
        <row r="50">
          <cell r="AO50" t="str">
            <v>тыс.руб.</v>
          </cell>
        </row>
        <row r="51">
          <cell r="AO51" t="str">
            <v>руб./ед.</v>
          </cell>
        </row>
        <row r="52">
          <cell r="AO52" t="str">
            <v>ед.</v>
          </cell>
        </row>
        <row r="53">
          <cell r="AO53" t="str">
            <v>тыс.руб.</v>
          </cell>
        </row>
        <row r="54">
          <cell r="AO54" t="str">
            <v>руб./ед.</v>
          </cell>
        </row>
        <row r="55">
          <cell r="AO55" t="str">
            <v>ед.</v>
          </cell>
        </row>
        <row r="56">
          <cell r="AO56" t="str">
            <v>тыс.руб.</v>
          </cell>
        </row>
        <row r="57">
          <cell r="AO57" t="str">
            <v>руб./ед.</v>
          </cell>
        </row>
        <row r="58">
          <cell r="AO58" t="str">
            <v>ед.</v>
          </cell>
        </row>
        <row r="59">
          <cell r="AO59" t="str">
            <v>тыс.руб.</v>
          </cell>
        </row>
        <row r="60">
          <cell r="AO60" t="str">
            <v>руб./ед.</v>
          </cell>
        </row>
        <row r="61">
          <cell r="AO61" t="str">
            <v>ед.</v>
          </cell>
        </row>
        <row r="62">
          <cell r="AO62" t="str">
            <v>тыс.руб.</v>
          </cell>
        </row>
        <row r="64">
          <cell r="AO64" t="str">
            <v>тыс.руб.</v>
          </cell>
        </row>
        <row r="66">
          <cell r="AO66" t="str">
            <v>тыс.руб.</v>
          </cell>
        </row>
        <row r="67">
          <cell r="AO67" t="str">
            <v>руб./ед.</v>
          </cell>
        </row>
        <row r="68">
          <cell r="AO68" t="str">
            <v>ед.</v>
          </cell>
        </row>
        <row r="69">
          <cell r="AO69" t="str">
            <v>тыс.руб.</v>
          </cell>
        </row>
        <row r="70">
          <cell r="AO70" t="str">
            <v>руб./ед.</v>
          </cell>
        </row>
        <row r="71">
          <cell r="AO71" t="str">
            <v>ед.</v>
          </cell>
        </row>
        <row r="72">
          <cell r="AO72" t="str">
            <v>тыс.руб.</v>
          </cell>
        </row>
        <row r="73">
          <cell r="AO73" t="str">
            <v>руб./ед.</v>
          </cell>
        </row>
        <row r="74">
          <cell r="AO74" t="str">
            <v>ед.</v>
          </cell>
        </row>
        <row r="75">
          <cell r="AO75" t="str">
            <v>тыс.руб.</v>
          </cell>
        </row>
        <row r="76">
          <cell r="AO76" t="str">
            <v>руб./ед.</v>
          </cell>
        </row>
        <row r="77">
          <cell r="AO77" t="str">
            <v>ед.</v>
          </cell>
        </row>
        <row r="78">
          <cell r="AO78" t="str">
            <v>тыс.руб.</v>
          </cell>
        </row>
        <row r="79">
          <cell r="AO79" t="str">
            <v>руб./ед.</v>
          </cell>
        </row>
        <row r="80">
          <cell r="AO80" t="str">
            <v>ед.</v>
          </cell>
        </row>
        <row r="81">
          <cell r="AO81" t="str">
            <v>тыс.руб.</v>
          </cell>
        </row>
        <row r="82">
          <cell r="AO82" t="str">
            <v>руб./ед.</v>
          </cell>
        </row>
        <row r="83">
          <cell r="AO83" t="str">
            <v>ед.</v>
          </cell>
        </row>
        <row r="84">
          <cell r="AO84" t="str">
            <v>тыс.руб.</v>
          </cell>
        </row>
        <row r="85">
          <cell r="AO85" t="str">
            <v>руб./ед.</v>
          </cell>
        </row>
        <row r="86">
          <cell r="AO86" t="str">
            <v>ед.</v>
          </cell>
        </row>
        <row r="87">
          <cell r="AO87" t="str">
            <v>тыс.руб.</v>
          </cell>
        </row>
        <row r="88">
          <cell r="AO88" t="str">
            <v>руб./ед.</v>
          </cell>
        </row>
        <row r="89">
          <cell r="AO89" t="str">
            <v>ед.</v>
          </cell>
        </row>
        <row r="90">
          <cell r="AO90" t="str">
            <v>тыс.руб.</v>
          </cell>
        </row>
        <row r="92">
          <cell r="AO92" t="str">
            <v>тыс.руб.</v>
          </cell>
        </row>
        <row r="94">
          <cell r="AO94" t="str">
            <v>тыс.руб.</v>
          </cell>
        </row>
        <row r="95">
          <cell r="AO95" t="str">
            <v>руб./ед.</v>
          </cell>
        </row>
        <row r="96">
          <cell r="AO96" t="str">
            <v>ед.</v>
          </cell>
        </row>
        <row r="97">
          <cell r="AO97" t="str">
            <v>тыс.руб.</v>
          </cell>
        </row>
        <row r="98">
          <cell r="AO98" t="str">
            <v>руб./ед.</v>
          </cell>
        </row>
        <row r="99">
          <cell r="AO99" t="str">
            <v>ед.</v>
          </cell>
        </row>
        <row r="100">
          <cell r="AO100" t="str">
            <v>тыс.руб.</v>
          </cell>
        </row>
        <row r="101">
          <cell r="AO101" t="str">
            <v>руб./ед.</v>
          </cell>
        </row>
        <row r="102">
          <cell r="AO102" t="str">
            <v>ед.</v>
          </cell>
        </row>
        <row r="103">
          <cell r="AO103" t="str">
            <v>тыс.руб.</v>
          </cell>
        </row>
        <row r="104">
          <cell r="AO104" t="str">
            <v>руб./ед.</v>
          </cell>
        </row>
        <row r="105">
          <cell r="AO105" t="str">
            <v>ед.</v>
          </cell>
        </row>
        <row r="106">
          <cell r="AO106" t="str">
            <v>тыс.руб.</v>
          </cell>
        </row>
        <row r="107">
          <cell r="AO107" t="str">
            <v>руб./ед.</v>
          </cell>
        </row>
        <row r="108">
          <cell r="AO108" t="str">
            <v>ед.</v>
          </cell>
        </row>
        <row r="109">
          <cell r="AO109" t="str">
            <v>тыс.руб.</v>
          </cell>
        </row>
        <row r="110">
          <cell r="AO110" t="str">
            <v>руб./ед.</v>
          </cell>
        </row>
        <row r="111">
          <cell r="AO111" t="str">
            <v>ед.</v>
          </cell>
        </row>
        <row r="112">
          <cell r="AO112" t="str">
            <v>тыс.руб.</v>
          </cell>
        </row>
        <row r="113">
          <cell r="AO113" t="str">
            <v>руб./ед.</v>
          </cell>
        </row>
        <row r="114">
          <cell r="AO114" t="str">
            <v>ед.</v>
          </cell>
        </row>
        <row r="115">
          <cell r="AO115" t="str">
            <v>тыс.руб.</v>
          </cell>
        </row>
        <row r="116">
          <cell r="AO116" t="str">
            <v>руб./ед.</v>
          </cell>
        </row>
        <row r="117">
          <cell r="AO117" t="str">
            <v>ед.</v>
          </cell>
        </row>
        <row r="118">
          <cell r="AO118" t="str">
            <v>тыс.руб.</v>
          </cell>
        </row>
        <row r="119">
          <cell r="AO119" t="str">
            <v>руб./ед.</v>
          </cell>
        </row>
        <row r="120">
          <cell r="AO120" t="str">
            <v>ед.</v>
          </cell>
        </row>
        <row r="121">
          <cell r="AO121" t="str">
            <v>тыс.руб.</v>
          </cell>
        </row>
        <row r="122">
          <cell r="AO122" t="str">
            <v>руб./ед.</v>
          </cell>
        </row>
        <row r="123">
          <cell r="AO123" t="str">
            <v>ед.</v>
          </cell>
        </row>
        <row r="124">
          <cell r="AO124" t="str">
            <v>тыс.руб.</v>
          </cell>
        </row>
        <row r="125">
          <cell r="AO125" t="str">
            <v>руб./ед.</v>
          </cell>
        </row>
        <row r="126">
          <cell r="AO126" t="str">
            <v>ед.</v>
          </cell>
        </row>
        <row r="127">
          <cell r="AO127" t="str">
            <v>тыс.руб.</v>
          </cell>
        </row>
        <row r="128">
          <cell r="AO128" t="str">
            <v>руб./ед.</v>
          </cell>
        </row>
        <row r="129">
          <cell r="AO129" t="str">
            <v>ед.</v>
          </cell>
        </row>
        <row r="130">
          <cell r="AO130" t="str">
            <v>тыс.руб.</v>
          </cell>
        </row>
        <row r="131">
          <cell r="AO131" t="str">
            <v>руб./ед.</v>
          </cell>
        </row>
        <row r="132">
          <cell r="AO132" t="str">
            <v>ед.</v>
          </cell>
        </row>
        <row r="133">
          <cell r="AO133" t="str">
            <v>тыс.руб.</v>
          </cell>
        </row>
        <row r="134">
          <cell r="AO134" t="str">
            <v>руб./ед.</v>
          </cell>
        </row>
        <row r="135">
          <cell r="AO135" t="str">
            <v>ед.</v>
          </cell>
        </row>
        <row r="136">
          <cell r="AO136" t="str">
            <v>тыс.руб.</v>
          </cell>
        </row>
        <row r="137">
          <cell r="AO137" t="str">
            <v>руб./ед.</v>
          </cell>
        </row>
        <row r="138">
          <cell r="AO138" t="str">
            <v>ед.</v>
          </cell>
        </row>
        <row r="139">
          <cell r="AO139" t="str">
            <v>тыс.руб.</v>
          </cell>
        </row>
        <row r="140">
          <cell r="AO140" t="str">
            <v>руб./ед.</v>
          </cell>
        </row>
        <row r="141">
          <cell r="AO141" t="str">
            <v>ед.</v>
          </cell>
        </row>
        <row r="142">
          <cell r="AO142" t="str">
            <v>тыс.руб.</v>
          </cell>
        </row>
        <row r="143">
          <cell r="AO143" t="str">
            <v>руб./ед.</v>
          </cell>
        </row>
        <row r="144">
          <cell r="AO144" t="str">
            <v>ед.</v>
          </cell>
        </row>
        <row r="145">
          <cell r="AO145" t="str">
            <v>тыс.руб.</v>
          </cell>
        </row>
        <row r="146">
          <cell r="AO146" t="str">
            <v>руб./ед.</v>
          </cell>
        </row>
        <row r="147">
          <cell r="AO147" t="str">
            <v>ед.</v>
          </cell>
        </row>
        <row r="148">
          <cell r="AO148" t="str">
            <v>тыс.руб.</v>
          </cell>
        </row>
        <row r="149">
          <cell r="AO149" t="str">
            <v>руб./ед.</v>
          </cell>
        </row>
        <row r="150">
          <cell r="AO150" t="str">
            <v>ед.</v>
          </cell>
        </row>
        <row r="151">
          <cell r="AO151" t="str">
            <v>тыс.руб.</v>
          </cell>
        </row>
        <row r="152">
          <cell r="AO152" t="str">
            <v>руб./ед.</v>
          </cell>
        </row>
        <row r="153">
          <cell r="AO153" t="str">
            <v>ед.</v>
          </cell>
        </row>
        <row r="154">
          <cell r="AO154" t="str">
            <v>тыс.руб.</v>
          </cell>
        </row>
        <row r="155">
          <cell r="AO155" t="str">
            <v>руб./ед.</v>
          </cell>
        </row>
        <row r="156">
          <cell r="AO156" t="str">
            <v>ед.</v>
          </cell>
        </row>
        <row r="157">
          <cell r="AO157" t="str">
            <v>тыс.руб.</v>
          </cell>
        </row>
        <row r="158">
          <cell r="AO158" t="str">
            <v>руб./ед.</v>
          </cell>
        </row>
        <row r="159">
          <cell r="AO159" t="str">
            <v>ед.</v>
          </cell>
        </row>
        <row r="160">
          <cell r="AO160" t="str">
            <v>тыс.руб.</v>
          </cell>
        </row>
        <row r="161">
          <cell r="AO161" t="str">
            <v>руб./ед.</v>
          </cell>
        </row>
        <row r="162">
          <cell r="AO162" t="str">
            <v>ед.</v>
          </cell>
        </row>
        <row r="163">
          <cell r="AO163" t="str">
            <v>тыс.руб.</v>
          </cell>
        </row>
        <row r="164">
          <cell r="AO164" t="str">
            <v>руб./ед.</v>
          </cell>
        </row>
        <row r="165">
          <cell r="AO165" t="str">
            <v>ед.</v>
          </cell>
        </row>
        <row r="166">
          <cell r="AO166" t="str">
            <v>тыс.руб.</v>
          </cell>
        </row>
        <row r="167">
          <cell r="AO167" t="str">
            <v>руб./ед.</v>
          </cell>
        </row>
        <row r="168">
          <cell r="AO168" t="str">
            <v>ед.</v>
          </cell>
        </row>
        <row r="169">
          <cell r="AO169" t="str">
            <v>тыс.руб.</v>
          </cell>
        </row>
        <row r="170">
          <cell r="AO170" t="str">
            <v>руб./ед.</v>
          </cell>
        </row>
        <row r="171">
          <cell r="AO171" t="str">
            <v>ед.</v>
          </cell>
        </row>
        <row r="172">
          <cell r="AO172" t="str">
            <v>тыс.руб.</v>
          </cell>
        </row>
        <row r="173">
          <cell r="AO173" t="str">
            <v>руб./ед.</v>
          </cell>
        </row>
        <row r="174">
          <cell r="AO174" t="str">
            <v>ед.</v>
          </cell>
        </row>
        <row r="175">
          <cell r="AO175" t="str">
            <v>тыс.руб.</v>
          </cell>
        </row>
        <row r="176">
          <cell r="AO176" t="str">
            <v>руб./ед.</v>
          </cell>
        </row>
        <row r="177">
          <cell r="AO177" t="str">
            <v>ед.</v>
          </cell>
        </row>
        <row r="178">
          <cell r="AO178" t="str">
            <v>тыс.руб.</v>
          </cell>
        </row>
        <row r="179">
          <cell r="AO179" t="str">
            <v>руб./ед.</v>
          </cell>
        </row>
        <row r="180">
          <cell r="AO180" t="str">
            <v>ед.</v>
          </cell>
        </row>
        <row r="181">
          <cell r="AO181" t="str">
            <v>тыс.руб.</v>
          </cell>
        </row>
        <row r="182">
          <cell r="AO182" t="str">
            <v>руб./ед.</v>
          </cell>
        </row>
        <row r="183">
          <cell r="AO183" t="str">
            <v>ед.</v>
          </cell>
        </row>
        <row r="184">
          <cell r="AO184" t="str">
            <v>тыс.руб.</v>
          </cell>
        </row>
        <row r="185">
          <cell r="AO185" t="str">
            <v>руб./ед.</v>
          </cell>
        </row>
        <row r="186">
          <cell r="AO186" t="str">
            <v>ед.</v>
          </cell>
        </row>
        <row r="187">
          <cell r="AO187" t="str">
            <v>тыс.руб.</v>
          </cell>
        </row>
        <row r="188">
          <cell r="AO188" t="str">
            <v>руб./ед.</v>
          </cell>
        </row>
        <row r="189">
          <cell r="AO189" t="str">
            <v>ед.</v>
          </cell>
        </row>
        <row r="190">
          <cell r="AO190" t="str">
            <v>тыс.руб.</v>
          </cell>
        </row>
        <row r="191">
          <cell r="AO191" t="str">
            <v>руб./ед.</v>
          </cell>
        </row>
        <row r="192">
          <cell r="AO192" t="str">
            <v>ед.</v>
          </cell>
        </row>
        <row r="193">
          <cell r="AO193" t="str">
            <v>тыс.руб.</v>
          </cell>
        </row>
        <row r="194">
          <cell r="AO194" t="str">
            <v>руб./ед.</v>
          </cell>
        </row>
        <row r="195">
          <cell r="AO195" t="str">
            <v>ед.</v>
          </cell>
        </row>
        <row r="196">
          <cell r="AO196" t="str">
            <v>тыс.руб.</v>
          </cell>
        </row>
        <row r="197">
          <cell r="AO197" t="str">
            <v>руб./ед.</v>
          </cell>
        </row>
        <row r="198">
          <cell r="AO198" t="str">
            <v>ед.</v>
          </cell>
        </row>
        <row r="199">
          <cell r="AO199" t="str">
            <v>тыс.руб.</v>
          </cell>
        </row>
        <row r="200">
          <cell r="AO200" t="str">
            <v>руб./ед.</v>
          </cell>
        </row>
        <row r="201">
          <cell r="AO201" t="str">
            <v>ед.</v>
          </cell>
        </row>
        <row r="202">
          <cell r="AO202" t="str">
            <v>тыс.руб.</v>
          </cell>
        </row>
        <row r="203">
          <cell r="AO203" t="str">
            <v>руб./ед.</v>
          </cell>
        </row>
        <row r="204">
          <cell r="AO204" t="str">
            <v>ед.</v>
          </cell>
        </row>
        <row r="205">
          <cell r="AO205" t="str">
            <v>тыс.руб.</v>
          </cell>
        </row>
        <row r="206">
          <cell r="AO206" t="str">
            <v>руб./ед.</v>
          </cell>
        </row>
        <row r="207">
          <cell r="AO207" t="str">
            <v>ед.</v>
          </cell>
        </row>
        <row r="208">
          <cell r="AO208" t="str">
            <v>тыс.руб.</v>
          </cell>
        </row>
        <row r="209">
          <cell r="AO209" t="str">
            <v>руб./ед.</v>
          </cell>
        </row>
        <row r="210">
          <cell r="AO210" t="str">
            <v>ед.</v>
          </cell>
        </row>
        <row r="211">
          <cell r="AO211" t="str">
            <v>тыс.руб.</v>
          </cell>
        </row>
        <row r="212">
          <cell r="AO212" t="str">
            <v>руб./ед.</v>
          </cell>
        </row>
        <row r="213">
          <cell r="AO213" t="str">
            <v>ед.</v>
          </cell>
        </row>
        <row r="214">
          <cell r="AO214" t="str">
            <v>тыс.руб.</v>
          </cell>
        </row>
        <row r="215">
          <cell r="AO215" t="str">
            <v>руб./ед.</v>
          </cell>
        </row>
        <row r="216">
          <cell r="AO216" t="str">
            <v>ед.</v>
          </cell>
        </row>
        <row r="217">
          <cell r="AO217" t="str">
            <v>тыс.руб.</v>
          </cell>
        </row>
        <row r="218">
          <cell r="AO218" t="str">
            <v>руб./ед.</v>
          </cell>
        </row>
        <row r="219">
          <cell r="AO219" t="str">
            <v>ед.</v>
          </cell>
        </row>
        <row r="220">
          <cell r="AO220" t="str">
            <v>тыс.руб.</v>
          </cell>
        </row>
        <row r="221">
          <cell r="AO221" t="str">
            <v>руб./ед.</v>
          </cell>
        </row>
        <row r="222">
          <cell r="AO222" t="str">
            <v>ед.</v>
          </cell>
        </row>
        <row r="223">
          <cell r="AO223" t="str">
            <v>тыс.руб.</v>
          </cell>
        </row>
        <row r="224">
          <cell r="AO224" t="str">
            <v>руб./ед.</v>
          </cell>
        </row>
        <row r="225">
          <cell r="AO225" t="str">
            <v>ед.</v>
          </cell>
        </row>
        <row r="226">
          <cell r="AO226" t="str">
            <v>тыс.руб.</v>
          </cell>
        </row>
        <row r="227">
          <cell r="AO227" t="str">
            <v>руб./ед.</v>
          </cell>
        </row>
        <row r="228">
          <cell r="AO228" t="str">
            <v>ед.</v>
          </cell>
        </row>
        <row r="229">
          <cell r="AO229" t="str">
            <v>тыс.руб.</v>
          </cell>
        </row>
        <row r="230">
          <cell r="AO230" t="str">
            <v>руб./ед.</v>
          </cell>
        </row>
        <row r="231">
          <cell r="AO231" t="str">
            <v>ед.</v>
          </cell>
        </row>
        <row r="232">
          <cell r="AO232" t="str">
            <v>тыс.руб.</v>
          </cell>
        </row>
        <row r="233">
          <cell r="AO233" t="str">
            <v>руб./ед.</v>
          </cell>
        </row>
        <row r="234">
          <cell r="AO234" t="str">
            <v>ед.</v>
          </cell>
        </row>
        <row r="235">
          <cell r="AO235" t="str">
            <v>тыс.руб.</v>
          </cell>
        </row>
        <row r="236">
          <cell r="AO236" t="str">
            <v>руб./ед.</v>
          </cell>
        </row>
        <row r="237">
          <cell r="AO237" t="str">
            <v>ед.</v>
          </cell>
        </row>
        <row r="238">
          <cell r="AO238" t="str">
            <v>тыс.руб.</v>
          </cell>
        </row>
        <row r="239">
          <cell r="AO239" t="str">
            <v>руб./ед.</v>
          </cell>
        </row>
        <row r="240">
          <cell r="AO240" t="str">
            <v>ед.</v>
          </cell>
        </row>
        <row r="241">
          <cell r="AO241" t="str">
            <v>тыс.руб.</v>
          </cell>
        </row>
        <row r="242">
          <cell r="AO242" t="str">
            <v>руб./ед.</v>
          </cell>
        </row>
        <row r="243">
          <cell r="AO243" t="str">
            <v>ед.</v>
          </cell>
        </row>
        <row r="244">
          <cell r="AO244" t="str">
            <v>тыс.руб.</v>
          </cell>
        </row>
        <row r="245">
          <cell r="AO245" t="str">
            <v>руб./ед.</v>
          </cell>
        </row>
        <row r="246">
          <cell r="AO246" t="str">
            <v>ед.</v>
          </cell>
        </row>
        <row r="247">
          <cell r="AO247" t="str">
            <v>тыс.руб.</v>
          </cell>
        </row>
        <row r="248">
          <cell r="AO248" t="str">
            <v>руб./ед.</v>
          </cell>
        </row>
        <row r="249">
          <cell r="AO249" t="str">
            <v>ед.</v>
          </cell>
        </row>
        <row r="250">
          <cell r="AO250" t="str">
            <v>тыс.руб.</v>
          </cell>
        </row>
        <row r="251">
          <cell r="AO251" t="str">
            <v>руб./ед.</v>
          </cell>
        </row>
        <row r="252">
          <cell r="AO252" t="str">
            <v>ед.</v>
          </cell>
        </row>
        <row r="253">
          <cell r="AO253" t="str">
            <v>тыс.руб.</v>
          </cell>
        </row>
        <row r="254">
          <cell r="AO254" t="str">
            <v>руб./ед.</v>
          </cell>
        </row>
        <row r="255">
          <cell r="AO255" t="str">
            <v>ед.</v>
          </cell>
        </row>
        <row r="256">
          <cell r="AO256" t="str">
            <v>тыс.руб.</v>
          </cell>
        </row>
        <row r="257">
          <cell r="AO257" t="str">
            <v>руб./ед.</v>
          </cell>
        </row>
        <row r="258">
          <cell r="AO258" t="str">
            <v>ед.</v>
          </cell>
        </row>
        <row r="259">
          <cell r="AO259" t="str">
            <v>тыс.руб.</v>
          </cell>
        </row>
        <row r="260">
          <cell r="AO260" t="str">
            <v>руб./ед.</v>
          </cell>
        </row>
        <row r="261">
          <cell r="AO261" t="str">
            <v>ед.</v>
          </cell>
        </row>
        <row r="262">
          <cell r="AO262" t="str">
            <v>тыс.руб.</v>
          </cell>
        </row>
        <row r="263">
          <cell r="AO263" t="str">
            <v>руб./ед.</v>
          </cell>
        </row>
        <row r="264">
          <cell r="AO264" t="str">
            <v>ед.</v>
          </cell>
        </row>
        <row r="265">
          <cell r="AO265" t="str">
            <v>тыс.руб.</v>
          </cell>
        </row>
        <row r="266">
          <cell r="AO266" t="str">
            <v>руб./ед.</v>
          </cell>
        </row>
        <row r="267">
          <cell r="AO267" t="str">
            <v>ед.</v>
          </cell>
        </row>
        <row r="268">
          <cell r="AO268" t="str">
            <v>тыс.руб.</v>
          </cell>
        </row>
        <row r="269">
          <cell r="AO269" t="str">
            <v>руб./ед.</v>
          </cell>
        </row>
        <row r="270">
          <cell r="AO270" t="str">
            <v>ед.</v>
          </cell>
        </row>
        <row r="271">
          <cell r="AO271" t="str">
            <v>тыс.руб.</v>
          </cell>
        </row>
        <row r="272">
          <cell r="AO272" t="str">
            <v>руб./ед.</v>
          </cell>
        </row>
        <row r="273">
          <cell r="AO273" t="str">
            <v>ед.</v>
          </cell>
        </row>
        <row r="274">
          <cell r="AO274" t="str">
            <v>тыс.руб.</v>
          </cell>
        </row>
        <row r="275">
          <cell r="AO275" t="str">
            <v>руб./ед.</v>
          </cell>
        </row>
        <row r="276">
          <cell r="AO276" t="str">
            <v>ед.</v>
          </cell>
        </row>
        <row r="277">
          <cell r="AO277" t="str">
            <v>тыс.руб.</v>
          </cell>
        </row>
        <row r="278">
          <cell r="AO278" t="str">
            <v>руб./ед.</v>
          </cell>
        </row>
        <row r="279">
          <cell r="AO279" t="str">
            <v>ед.</v>
          </cell>
        </row>
        <row r="280">
          <cell r="AO280" t="str">
            <v>тыс.руб.</v>
          </cell>
        </row>
        <row r="281">
          <cell r="AO281" t="str">
            <v>руб./ед.</v>
          </cell>
        </row>
        <row r="282">
          <cell r="AO282" t="str">
            <v>ед.</v>
          </cell>
        </row>
        <row r="283">
          <cell r="AO283" t="str">
            <v>тыс.руб.</v>
          </cell>
        </row>
        <row r="284">
          <cell r="AO284" t="str">
            <v>руб./ед.</v>
          </cell>
        </row>
        <row r="285">
          <cell r="AO285" t="str">
            <v>ед.</v>
          </cell>
        </row>
        <row r="286">
          <cell r="AO286" t="str">
            <v>тыс.руб.</v>
          </cell>
        </row>
        <row r="287">
          <cell r="AO287" t="str">
            <v>руб./ед.</v>
          </cell>
        </row>
        <row r="288">
          <cell r="AO288" t="str">
            <v>ед.</v>
          </cell>
        </row>
        <row r="289">
          <cell r="AO289" t="str">
            <v>тыс.руб.</v>
          </cell>
        </row>
        <row r="290">
          <cell r="AO290" t="str">
            <v>руб./ед.</v>
          </cell>
        </row>
        <row r="291">
          <cell r="AO291" t="str">
            <v>ед.</v>
          </cell>
        </row>
        <row r="292">
          <cell r="AO292" t="str">
            <v>тыс.руб.</v>
          </cell>
        </row>
        <row r="293">
          <cell r="AO293" t="str">
            <v>руб./ед.</v>
          </cell>
        </row>
        <row r="294">
          <cell r="AO294" t="str">
            <v>ед.</v>
          </cell>
        </row>
        <row r="295">
          <cell r="AO295" t="str">
            <v>тыс.руб.</v>
          </cell>
        </row>
        <row r="296">
          <cell r="AO296" t="str">
            <v>руб./ед.</v>
          </cell>
        </row>
        <row r="297">
          <cell r="AO297" t="str">
            <v>ед.</v>
          </cell>
        </row>
        <row r="298">
          <cell r="AO298" t="str">
            <v>тыс.руб.</v>
          </cell>
        </row>
        <row r="299">
          <cell r="AO299" t="str">
            <v>руб./ед.</v>
          </cell>
        </row>
        <row r="300">
          <cell r="AO300" t="str">
            <v>ед.</v>
          </cell>
        </row>
        <row r="301">
          <cell r="AO301" t="str">
            <v>тыс.руб.</v>
          </cell>
        </row>
        <row r="302">
          <cell r="AO302" t="str">
            <v>руб./ед.</v>
          </cell>
        </row>
        <row r="303">
          <cell r="AO303" t="str">
            <v>ед.</v>
          </cell>
        </row>
        <row r="304">
          <cell r="AO304" t="str">
            <v>тыс.руб.</v>
          </cell>
        </row>
        <row r="305">
          <cell r="AO305" t="str">
            <v>руб./ед.</v>
          </cell>
        </row>
        <row r="306">
          <cell r="AO306" t="str">
            <v>ед.</v>
          </cell>
        </row>
        <row r="307">
          <cell r="AO307" t="str">
            <v>тыс.руб.</v>
          </cell>
        </row>
        <row r="308">
          <cell r="AO308" t="str">
            <v>руб./ед.</v>
          </cell>
        </row>
        <row r="309">
          <cell r="AO309" t="str">
            <v>ед.</v>
          </cell>
        </row>
        <row r="310">
          <cell r="AO310" t="str">
            <v>тыс.руб.</v>
          </cell>
        </row>
        <row r="311">
          <cell r="AO311" t="str">
            <v>руб./ед.</v>
          </cell>
        </row>
        <row r="312">
          <cell r="AO312" t="str">
            <v>ед.</v>
          </cell>
        </row>
        <row r="313">
          <cell r="AO313" t="str">
            <v>тыс.руб.</v>
          </cell>
        </row>
        <row r="314">
          <cell r="AO314" t="str">
            <v>руб./ед.</v>
          </cell>
        </row>
        <row r="315">
          <cell r="AO315" t="str">
            <v>ед.</v>
          </cell>
        </row>
        <row r="316">
          <cell r="AO316" t="str">
            <v>тыс.руб.</v>
          </cell>
        </row>
        <row r="317">
          <cell r="AO317" t="str">
            <v>руб./ед.</v>
          </cell>
        </row>
        <row r="318">
          <cell r="AO318" t="str">
            <v>ед.</v>
          </cell>
        </row>
        <row r="319">
          <cell r="AO319" t="str">
            <v>тыс.руб.</v>
          </cell>
        </row>
        <row r="320">
          <cell r="AO320" t="str">
            <v>руб./ед.</v>
          </cell>
        </row>
        <row r="321">
          <cell r="AO321" t="str">
            <v>ед.</v>
          </cell>
        </row>
        <row r="322">
          <cell r="AO322" t="str">
            <v>тыс.руб.</v>
          </cell>
        </row>
        <row r="323">
          <cell r="AO323" t="str">
            <v>руб./ед.</v>
          </cell>
        </row>
        <row r="324">
          <cell r="AO324" t="str">
            <v>ед.</v>
          </cell>
        </row>
        <row r="325">
          <cell r="AO325" t="str">
            <v>тыс.руб.</v>
          </cell>
        </row>
        <row r="326">
          <cell r="AO326" t="str">
            <v>руб./ед.</v>
          </cell>
        </row>
        <row r="327">
          <cell r="AO327" t="str">
            <v>ед.</v>
          </cell>
        </row>
        <row r="328">
          <cell r="AO328" t="str">
            <v>тыс.руб.</v>
          </cell>
        </row>
        <row r="329">
          <cell r="AO329" t="str">
            <v>руб./ед.</v>
          </cell>
        </row>
        <row r="330">
          <cell r="AO330" t="str">
            <v>ед.</v>
          </cell>
        </row>
        <row r="331">
          <cell r="AO331" t="str">
            <v>тыс.руб.</v>
          </cell>
        </row>
        <row r="332">
          <cell r="AO332" t="str">
            <v>руб./ед.</v>
          </cell>
        </row>
        <row r="333">
          <cell r="AO333" t="str">
            <v>ед.</v>
          </cell>
        </row>
        <row r="334">
          <cell r="AO334" t="str">
            <v>тыс.руб.</v>
          </cell>
        </row>
        <row r="335">
          <cell r="AO335" t="str">
            <v>руб./ед.</v>
          </cell>
        </row>
        <row r="336">
          <cell r="AO336" t="str">
            <v>ед.</v>
          </cell>
        </row>
        <row r="337">
          <cell r="AO337" t="str">
            <v>тыс.руб.</v>
          </cell>
        </row>
        <row r="338">
          <cell r="AO338" t="str">
            <v>руб./ед.</v>
          </cell>
        </row>
        <row r="339">
          <cell r="AO339" t="str">
            <v>ед.</v>
          </cell>
        </row>
        <row r="340">
          <cell r="AO340" t="str">
            <v>тыс.руб.</v>
          </cell>
        </row>
        <row r="341">
          <cell r="AO341" t="str">
            <v>руб./ед.</v>
          </cell>
        </row>
        <row r="342">
          <cell r="AO342" t="str">
            <v>ед.</v>
          </cell>
        </row>
        <row r="343">
          <cell r="AO343" t="str">
            <v>тыс.руб.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Калининградская область</v>
          </cell>
          <cell r="J10">
            <v>2018</v>
          </cell>
        </row>
      </sheetData>
      <sheetData sheetId="4" refreshError="1"/>
      <sheetData sheetId="5" refreshError="1">
        <row r="8">
          <cell r="F8" t="str">
            <v>НС</v>
          </cell>
        </row>
        <row r="9">
          <cell r="F9" t="str">
            <v>сеть</v>
          </cell>
        </row>
        <row r="10">
          <cell r="F10" t="str">
            <v>НС с сетями</v>
          </cell>
        </row>
        <row r="11">
          <cell r="F11" t="str">
            <v>ОС</v>
          </cell>
        </row>
        <row r="12">
          <cell r="F12" t="str">
            <v>ОС с сетями</v>
          </cell>
        </row>
        <row r="13">
          <cell r="F13" t="str">
            <v>НС с ОС и сетями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торги (проведены до 1 сентября 2010 года)</v>
          </cell>
        </row>
        <row r="6">
          <cell r="B6" t="str">
            <v>торги (проведены до 10 сентября 2012 года)</v>
          </cell>
        </row>
        <row r="7">
          <cell r="B7" t="str">
            <v>собственное имущество</v>
          </cell>
        </row>
        <row r="8">
          <cell r="B8" t="str">
            <v>хозяйственное ведение</v>
          </cell>
        </row>
        <row r="9">
          <cell r="B9" t="str">
            <v>оперативное управление</v>
          </cell>
        </row>
        <row r="10">
          <cell r="B10" t="str">
            <v>аренда</v>
          </cell>
        </row>
        <row r="11">
          <cell r="B11" t="str">
            <v>лизинг</v>
          </cell>
        </row>
        <row r="12">
          <cell r="B12" t="str">
            <v>передаточный акт</v>
          </cell>
        </row>
        <row r="13">
          <cell r="B13" t="str">
            <v>собственность Министерства Обороны РФ</v>
          </cell>
        </row>
        <row r="14">
          <cell r="B14" t="str">
            <v>бесхозное имущество</v>
          </cell>
        </row>
        <row r="15">
          <cell r="B15" t="str">
            <v>концессионное соглашение</v>
          </cell>
        </row>
        <row r="16">
          <cell r="B16" t="str">
            <v>договор по эксплуатации и техническому обслуживанию</v>
          </cell>
        </row>
        <row r="17">
          <cell r="B17" t="str">
            <v>предложить ещё варианты ...</v>
          </cell>
        </row>
        <row r="18">
          <cell r="B18" t="str">
            <v>эксплуатируется</v>
          </cell>
        </row>
        <row r="19">
          <cell r="B19" t="str">
            <v>не эксплуатируется</v>
          </cell>
        </row>
        <row r="20">
          <cell r="B20" t="str">
            <v>в резерве</v>
          </cell>
        </row>
        <row r="21">
          <cell r="B21" t="str">
            <v>в стадии строительства</v>
          </cell>
        </row>
        <row r="22">
          <cell r="B22" t="str">
            <v>предложить ещё варианты ...</v>
          </cell>
        </row>
        <row r="23">
          <cell r="B23" t="str">
            <v>государственное имущество</v>
          </cell>
        </row>
        <row r="24">
          <cell r="B24" t="str">
            <v>муниципальное имущество</v>
          </cell>
        </row>
        <row r="25">
          <cell r="B25" t="str">
            <v>частная собственность</v>
          </cell>
        </row>
        <row r="26">
          <cell r="B26" t="str">
            <v>бесхозное имущество</v>
          </cell>
        </row>
        <row r="27">
          <cell r="B27" t="str">
            <v>11 | Государственная собственность</v>
          </cell>
        </row>
        <row r="28">
          <cell r="B28" t="str">
            <v>12 | Федеральная собственность</v>
          </cell>
        </row>
        <row r="29">
          <cell r="B29" t="str">
            <v>13 | Собственность субъектов Российской Федерации</v>
          </cell>
        </row>
        <row r="30">
          <cell r="B30" t="str">
            <v>14 | Муниципальная собственность</v>
          </cell>
        </row>
        <row r="31">
          <cell r="B31" t="str">
            <v>15 | Собственность общественных и религиозных организаций (объединений)</v>
          </cell>
        </row>
        <row r="32">
          <cell r="B32" t="str">
            <v>16 | Частная собственность</v>
          </cell>
        </row>
        <row r="33">
          <cell r="B33" t="str">
            <v>17 | Смешанная российская собственность</v>
          </cell>
        </row>
        <row r="34">
          <cell r="B34" t="str">
            <v>18 | Собственность российских граждан, постоянно проживающих за границей</v>
          </cell>
        </row>
        <row r="35">
          <cell r="B35" t="str">
            <v>19 | Собственность потребительской кооперации</v>
          </cell>
        </row>
        <row r="36">
          <cell r="B36" t="str">
            <v>21 | Собственность международных организаций</v>
          </cell>
        </row>
        <row r="37">
          <cell r="B37" t="str">
            <v>22 | Собственность иностранных государств</v>
          </cell>
        </row>
        <row r="38">
          <cell r="B38" t="str">
            <v>23 | Собственность иностранных юридических лиц</v>
          </cell>
        </row>
        <row r="39">
          <cell r="B39" t="str">
            <v>24 | Собственность иностранных граждан и лиц без гражданства</v>
          </cell>
        </row>
        <row r="40">
          <cell r="B40" t="str">
            <v>27 | Смешанная иностранная собственность</v>
          </cell>
        </row>
        <row r="41">
          <cell r="B41" t="str">
            <v>31 | Совместная федеральная и иностранная собственность</v>
          </cell>
        </row>
        <row r="42">
          <cell r="B42" t="str">
            <v>32 | Совместная собственность субъектов Российской Федерации и иностранная собственность</v>
          </cell>
        </row>
        <row r="43">
          <cell r="B43" t="str">
            <v>33 | Совместная муниципальная и иностранная собственность</v>
          </cell>
        </row>
        <row r="44">
          <cell r="B44" t="str">
            <v>34 | Совместная частная и иностранная собственность</v>
          </cell>
        </row>
        <row r="45">
          <cell r="B45" t="str">
            <v>35 | Совместная собственность общественных и религиозных организаций (объединений) и иностранная собственность</v>
          </cell>
        </row>
        <row r="46">
          <cell r="B46" t="str">
            <v>41 | Смешанная российская собственность с долей федеральной собственности</v>
          </cell>
        </row>
        <row r="47">
          <cell r="B47" t="str">
            <v>42 | Смешанная российская собственность с долей собственности субъектов Российской Федерации</v>
          </cell>
        </row>
        <row r="48">
          <cell r="B48" t="str">
            <v>43 | Смешанная российская собственность с долями федеральной собственности и собственности субъектов Российской Федерации</v>
          </cell>
        </row>
        <row r="49">
          <cell r="B49" t="str">
            <v>49 | Иная смешанная российская собственность</v>
          </cell>
        </row>
        <row r="50">
          <cell r="B50" t="str">
            <v>51 | Собственность политических общественных объединений</v>
          </cell>
        </row>
        <row r="51">
          <cell r="B51" t="str">
            <v>52 | Собственность профессиональных союзов</v>
          </cell>
        </row>
        <row r="52">
          <cell r="B52" t="str">
            <v>53 | Собственность общественных объединений</v>
          </cell>
        </row>
        <row r="53">
          <cell r="B53" t="str">
            <v>54 | Собственность религиозных объединений</v>
          </cell>
        </row>
        <row r="54">
          <cell r="B54" t="str">
            <v>61 | Собственность государственных корпораций</v>
          </cell>
        </row>
        <row r="55">
          <cell r="B55" t="str">
            <v>предложить ещё варианты ...</v>
          </cell>
        </row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предложить ещё варианты ...</v>
          </cell>
        </row>
        <row r="110">
          <cell r="B110" t="str">
            <v>1 подъёма</v>
          </cell>
        </row>
        <row r="111">
          <cell r="B111" t="str">
            <v>2 подъёма</v>
          </cell>
        </row>
        <row r="112">
          <cell r="B112" t="str">
            <v>3 подъёма</v>
          </cell>
        </row>
        <row r="113">
          <cell r="B113" t="str">
            <v>4 подъёма</v>
          </cell>
        </row>
        <row r="114">
          <cell r="B114" t="str">
            <v>водозабор</v>
          </cell>
        </row>
        <row r="115">
          <cell r="B115" t="str">
            <v>артезианская скважина</v>
          </cell>
        </row>
        <row r="116">
          <cell r="B116" t="str">
            <v>подкачивающая станция</v>
          </cell>
        </row>
        <row r="117">
          <cell r="B117" t="str">
            <v>питьевая</v>
          </cell>
        </row>
        <row r="118">
          <cell r="B118" t="str">
            <v>техническая</v>
          </cell>
        </row>
        <row r="119">
          <cell r="B119" t="str">
            <v>питьевая и техническая</v>
          </cell>
        </row>
      </sheetData>
      <sheetData sheetId="18" refreshError="1">
        <row r="2">
          <cell r="E2" t="str">
            <v>Балтийский муниципальный район</v>
          </cell>
        </row>
        <row r="3">
          <cell r="E3" t="str">
            <v>Городской округ Багратионовский</v>
          </cell>
        </row>
        <row r="4">
          <cell r="E4" t="str">
            <v>Городской округ Гвардейский</v>
          </cell>
        </row>
        <row r="5">
          <cell r="E5" t="str">
            <v>Городской округ Гурьевский</v>
          </cell>
        </row>
        <row r="6">
          <cell r="E6" t="str">
            <v>Городской округ Гусевский</v>
          </cell>
        </row>
        <row r="7">
          <cell r="E7" t="str">
            <v>Городской округ Зеленоградский</v>
          </cell>
        </row>
        <row r="8">
          <cell r="E8" t="str">
            <v>Городской округ Краснознаменский</v>
          </cell>
        </row>
        <row r="9">
          <cell r="E9" t="str">
            <v>Городской округ Ладушкинский</v>
          </cell>
        </row>
        <row r="10">
          <cell r="E10" t="str">
            <v>Городской округ Мамоновский</v>
          </cell>
        </row>
        <row r="11">
          <cell r="E11" t="str">
            <v>Городской округ Неманский</v>
          </cell>
        </row>
        <row r="12">
          <cell r="E12" t="str">
            <v>Городской округ Озерский</v>
          </cell>
        </row>
        <row r="13">
          <cell r="E13" t="str">
            <v>Городской округ Пионерский</v>
          </cell>
        </row>
        <row r="14">
          <cell r="E14" t="str">
            <v>Городской округ Полесский</v>
          </cell>
        </row>
        <row r="15">
          <cell r="E15" t="str">
            <v>Городской округ Правдинский</v>
          </cell>
        </row>
        <row r="16">
          <cell r="E16" t="str">
            <v>Городской округ Светловский</v>
          </cell>
        </row>
        <row r="17">
          <cell r="E17" t="str">
            <v>Городской округ Славский</v>
          </cell>
        </row>
        <row r="18">
          <cell r="E18" t="str">
            <v>Городской округ Советский</v>
          </cell>
        </row>
        <row r="19">
          <cell r="E19" t="str">
            <v>Городской округ Черняховский</v>
          </cell>
        </row>
        <row r="20">
          <cell r="E20" t="str">
            <v>Городской округ Янтарный</v>
          </cell>
        </row>
        <row r="21">
          <cell r="E21" t="str">
            <v>Городской округ город Калининград</v>
          </cell>
        </row>
        <row r="22">
          <cell r="E22" t="str">
            <v>Нестеровский муниципальный район</v>
          </cell>
        </row>
        <row r="23">
          <cell r="E23" t="str">
            <v>Светлогорский муниципальный район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2"/>
      <sheetName val="Лист2 (2)"/>
      <sheetName val="Лист1"/>
      <sheetName val="Прил.1 Метод.указаний №1746-э"/>
      <sheetName val="Прил.2 Метод.указ. №1746-э 2016"/>
      <sheetName val="Лист3"/>
      <sheetName val="Лист4"/>
      <sheetName val="Прил.2.1 Метод.указаний №1746-э"/>
      <sheetName val="Прил.2.1.1 Мет.указаний №1746-э"/>
      <sheetName val="Пр.2.1.2-2.1.6 Мет.указ.№1746-э"/>
      <sheetName val="Прил.2.2 Метод.указаний №1746-э"/>
      <sheetName val="Прил.2.3 Метод.указаний №1746-э"/>
      <sheetName val="Прил.4 Метод.указаний №1746-э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аблица № 1"/>
      <sheetName val="Таблица № 2 "/>
      <sheetName val="Таблица № 3"/>
      <sheetName val="Таблица № 3.1"/>
      <sheetName val="Таблица № 4"/>
      <sheetName val="Таблица № 5"/>
      <sheetName val="Таблица № 5.1"/>
      <sheetName val="Таблица № 6 "/>
      <sheetName val="Таблица № 7 "/>
      <sheetName val="Таблица № 8"/>
      <sheetName val="Таблица № 9 "/>
      <sheetName val="Таблица №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26.403564000311469</v>
          </cell>
        </row>
        <row r="8">
          <cell r="D8">
            <v>14.85438529434667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ВС.Объекты"/>
      <sheetName val="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КНС</v>
          </cell>
        </row>
        <row r="9">
          <cell r="G9" t="str">
            <v>сеть</v>
          </cell>
        </row>
        <row r="10">
          <cell r="G10" t="str">
            <v>КНС с сетями</v>
          </cell>
        </row>
        <row r="11">
          <cell r="G11" t="str">
            <v>ОС</v>
          </cell>
        </row>
        <row r="12">
          <cell r="G12" t="str">
            <v>ОС с сетями</v>
          </cell>
        </row>
        <row r="13">
          <cell r="G13" t="str">
            <v>КНС с ОС и сетями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напорная</v>
          </cell>
        </row>
        <row r="108">
          <cell r="B108" t="str">
            <v>самотечная</v>
          </cell>
        </row>
        <row r="109">
          <cell r="B109" t="str">
            <v>самотечная и напорная</v>
          </cell>
        </row>
        <row r="110">
          <cell r="B110" t="str">
            <v>предложить ещё варианты ...</v>
          </cell>
        </row>
        <row r="113">
          <cell r="B113" t="str">
            <v>высоковольтная КНС</v>
          </cell>
        </row>
        <row r="114">
          <cell r="B114" t="str">
            <v>низковольтная КНС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Объекты_ВО"/>
      <sheetName val="Объекты ВО"/>
      <sheetName val="Реагенты ВС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>
        <row r="45">
          <cell r="AT45">
            <v>0</v>
          </cell>
          <cell r="AU45">
            <v>0</v>
          </cell>
          <cell r="BC45">
            <v>0</v>
          </cell>
          <cell r="CD45">
            <v>0</v>
          </cell>
          <cell r="CE45">
            <v>0</v>
          </cell>
          <cell r="CS45">
            <v>0</v>
          </cell>
          <cell r="DP45">
            <v>0</v>
          </cell>
          <cell r="DQ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</row>
        <row r="46">
          <cell r="AT46">
            <v>0</v>
          </cell>
          <cell r="AU46">
            <v>0</v>
          </cell>
          <cell r="BC46">
            <v>0</v>
          </cell>
          <cell r="CD46">
            <v>0</v>
          </cell>
          <cell r="CE46">
            <v>0</v>
          </cell>
          <cell r="CS46">
            <v>0</v>
          </cell>
          <cell r="DP46">
            <v>0</v>
          </cell>
          <cell r="DQ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</row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 t="str">
            <v>L_TR_DEPRECIATION</v>
          </cell>
        </row>
        <row r="48">
          <cell r="AT48">
            <v>0</v>
          </cell>
          <cell r="AU48">
            <v>0</v>
          </cell>
          <cell r="BC48">
            <v>0</v>
          </cell>
          <cell r="CD48">
            <v>0</v>
          </cell>
          <cell r="CE48">
            <v>0</v>
          </cell>
          <cell r="CS48">
            <v>0</v>
          </cell>
          <cell r="DP48">
            <v>0</v>
          </cell>
          <cell r="DQ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</row>
        <row r="49">
          <cell r="AT49">
            <v>0</v>
          </cell>
          <cell r="AU49">
            <v>0</v>
          </cell>
          <cell r="BC49">
            <v>0</v>
          </cell>
          <cell r="CD49">
            <v>0</v>
          </cell>
          <cell r="CE49">
            <v>0</v>
          </cell>
          <cell r="CS49">
            <v>0</v>
          </cell>
          <cell r="DP49">
            <v>0</v>
          </cell>
          <cell r="DQ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</row>
        <row r="50">
          <cell r="AT50">
            <v>0</v>
          </cell>
          <cell r="AU50">
            <v>0</v>
          </cell>
          <cell r="BC50">
            <v>0</v>
          </cell>
          <cell r="CD50">
            <v>0</v>
          </cell>
          <cell r="CE50">
            <v>0</v>
          </cell>
          <cell r="CS50">
            <v>0</v>
          </cell>
          <cell r="DP50">
            <v>0</v>
          </cell>
          <cell r="DQ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1E-3</v>
          </cell>
          <cell r="FT51">
            <v>0</v>
          </cell>
          <cell r="FU51">
            <v>0</v>
          </cell>
          <cell r="FV51">
            <v>0</v>
          </cell>
          <cell r="FW51">
            <v>1E-3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89.724999999999994</v>
          </cell>
        </row>
        <row r="52">
          <cell r="AT52">
            <v>0</v>
          </cell>
          <cell r="AU52">
            <v>0</v>
          </cell>
          <cell r="BC52">
            <v>0</v>
          </cell>
          <cell r="CD52">
            <v>0</v>
          </cell>
          <cell r="CE52">
            <v>0</v>
          </cell>
          <cell r="CS52">
            <v>0</v>
          </cell>
          <cell r="DP52">
            <v>0</v>
          </cell>
          <cell r="DQ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</row>
        <row r="53">
          <cell r="AT53">
            <v>0</v>
          </cell>
          <cell r="AU53">
            <v>0</v>
          </cell>
          <cell r="BC53">
            <v>0</v>
          </cell>
          <cell r="CD53">
            <v>0</v>
          </cell>
          <cell r="CE53">
            <v>0</v>
          </cell>
          <cell r="CS53">
            <v>0</v>
          </cell>
          <cell r="DP53">
            <v>0</v>
          </cell>
          <cell r="DQ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1E-3</v>
          </cell>
          <cell r="FT54">
            <v>0</v>
          </cell>
          <cell r="FU54">
            <v>0</v>
          </cell>
          <cell r="FV54">
            <v>0</v>
          </cell>
          <cell r="FW54">
            <v>1E-3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57.72</v>
          </cell>
        </row>
        <row r="55">
          <cell r="AT55">
            <v>0</v>
          </cell>
          <cell r="AU55">
            <v>0</v>
          </cell>
          <cell r="BC55">
            <v>0</v>
          </cell>
          <cell r="CD55">
            <v>0</v>
          </cell>
          <cell r="CE55">
            <v>0</v>
          </cell>
          <cell r="CS55">
            <v>0</v>
          </cell>
          <cell r="DP55">
            <v>0</v>
          </cell>
          <cell r="DQ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</row>
        <row r="56">
          <cell r="AT56">
            <v>0</v>
          </cell>
          <cell r="AU56">
            <v>0</v>
          </cell>
          <cell r="BC56">
            <v>0</v>
          </cell>
          <cell r="CD56">
            <v>0</v>
          </cell>
          <cell r="CE56">
            <v>0</v>
          </cell>
          <cell r="CS56">
            <v>0</v>
          </cell>
          <cell r="DP56">
            <v>0</v>
          </cell>
          <cell r="DQ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</row>
        <row r="57">
          <cell r="AT57">
            <v>0</v>
          </cell>
          <cell r="AU57">
            <v>0</v>
          </cell>
          <cell r="BC57">
            <v>0</v>
          </cell>
          <cell r="CD57">
            <v>0</v>
          </cell>
          <cell r="CE57">
            <v>0</v>
          </cell>
          <cell r="CS57">
            <v>0</v>
          </cell>
          <cell r="DP57">
            <v>0</v>
          </cell>
          <cell r="DQ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1E-3</v>
          </cell>
          <cell r="FT58">
            <v>0</v>
          </cell>
          <cell r="FU58">
            <v>0</v>
          </cell>
          <cell r="FV58">
            <v>0</v>
          </cell>
          <cell r="FW58">
            <v>1E-3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58.82</v>
          </cell>
        </row>
        <row r="59">
          <cell r="AT59">
            <v>0</v>
          </cell>
          <cell r="AU59">
            <v>0</v>
          </cell>
          <cell r="BC59">
            <v>0</v>
          </cell>
          <cell r="CD59">
            <v>0</v>
          </cell>
          <cell r="CE59">
            <v>0</v>
          </cell>
          <cell r="CS59">
            <v>0</v>
          </cell>
          <cell r="DP59">
            <v>0</v>
          </cell>
          <cell r="DQ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</row>
        <row r="60">
          <cell r="AT60">
            <v>0</v>
          </cell>
          <cell r="AU60">
            <v>0</v>
          </cell>
          <cell r="BC60">
            <v>0</v>
          </cell>
          <cell r="CD60">
            <v>0</v>
          </cell>
          <cell r="CE60">
            <v>0</v>
          </cell>
          <cell r="CS60">
            <v>0</v>
          </cell>
          <cell r="DP60">
            <v>0</v>
          </cell>
          <cell r="DQ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70.900000000000006</v>
          </cell>
        </row>
        <row r="62">
          <cell r="AT62">
            <v>0</v>
          </cell>
          <cell r="AU62">
            <v>0</v>
          </cell>
          <cell r="BC62">
            <v>0</v>
          </cell>
          <cell r="CD62">
            <v>0</v>
          </cell>
          <cell r="CE62">
            <v>0</v>
          </cell>
          <cell r="CS62">
            <v>0</v>
          </cell>
          <cell r="DP62">
            <v>0</v>
          </cell>
          <cell r="DQ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</row>
        <row r="63">
          <cell r="AT63">
            <v>0</v>
          </cell>
          <cell r="AU63">
            <v>0</v>
          </cell>
          <cell r="BC63">
            <v>0</v>
          </cell>
          <cell r="CD63">
            <v>0</v>
          </cell>
          <cell r="CE63">
            <v>0</v>
          </cell>
          <cell r="CS63">
            <v>0</v>
          </cell>
          <cell r="DP63">
            <v>0</v>
          </cell>
          <cell r="DQ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4.49</v>
          </cell>
        </row>
        <row r="65">
          <cell r="AT65">
            <v>0</v>
          </cell>
          <cell r="AU65">
            <v>0</v>
          </cell>
          <cell r="BC65">
            <v>0</v>
          </cell>
          <cell r="CD65">
            <v>0</v>
          </cell>
          <cell r="CE65">
            <v>0</v>
          </cell>
          <cell r="CS65">
            <v>0</v>
          </cell>
          <cell r="DP65">
            <v>0</v>
          </cell>
          <cell r="DQ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</row>
        <row r="66">
          <cell r="AT66">
            <v>0</v>
          </cell>
          <cell r="AU66">
            <v>0</v>
          </cell>
          <cell r="BC66">
            <v>0</v>
          </cell>
          <cell r="CD66">
            <v>0</v>
          </cell>
          <cell r="CE66">
            <v>0</v>
          </cell>
          <cell r="CS66">
            <v>0</v>
          </cell>
          <cell r="DP66">
            <v>0</v>
          </cell>
          <cell r="DQ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1.155</v>
          </cell>
          <cell r="FT67">
            <v>1.155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72.349999999999994</v>
          </cell>
        </row>
        <row r="68">
          <cell r="AT68">
            <v>0</v>
          </cell>
          <cell r="AU68">
            <v>0</v>
          </cell>
          <cell r="BC68">
            <v>0</v>
          </cell>
          <cell r="CD68">
            <v>0</v>
          </cell>
          <cell r="CE68">
            <v>0</v>
          </cell>
          <cell r="CS68">
            <v>0</v>
          </cell>
          <cell r="DP68">
            <v>0</v>
          </cell>
          <cell r="DQ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</row>
        <row r="69">
          <cell r="AT69">
            <v>0</v>
          </cell>
          <cell r="AU69">
            <v>0</v>
          </cell>
          <cell r="BC69">
            <v>0</v>
          </cell>
          <cell r="CD69">
            <v>0</v>
          </cell>
          <cell r="CE69">
            <v>0</v>
          </cell>
          <cell r="CS69">
            <v>0</v>
          </cell>
          <cell r="DP69">
            <v>0</v>
          </cell>
          <cell r="DQ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0.63500000000000001</v>
          </cell>
          <cell r="FT70">
            <v>0.63500000000000001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62.3</v>
          </cell>
        </row>
        <row r="71">
          <cell r="AT71">
            <v>0</v>
          </cell>
          <cell r="AU71">
            <v>0</v>
          </cell>
          <cell r="BC71">
            <v>0</v>
          </cell>
          <cell r="CD71">
            <v>0</v>
          </cell>
          <cell r="CE71">
            <v>0</v>
          </cell>
          <cell r="CS71">
            <v>0</v>
          </cell>
          <cell r="DP71">
            <v>0</v>
          </cell>
          <cell r="DQ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</row>
        <row r="72">
          <cell r="AT72">
            <v>0</v>
          </cell>
          <cell r="AU72">
            <v>0</v>
          </cell>
          <cell r="BC72">
            <v>0</v>
          </cell>
          <cell r="CD72">
            <v>0</v>
          </cell>
          <cell r="CE72">
            <v>0</v>
          </cell>
          <cell r="CS72">
            <v>0</v>
          </cell>
          <cell r="DP72">
            <v>0</v>
          </cell>
          <cell r="DQ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CD73">
            <v>0</v>
          </cell>
          <cell r="CE73">
            <v>0</v>
          </cell>
          <cell r="CS73">
            <v>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100</v>
          </cell>
        </row>
        <row r="74">
          <cell r="AT74">
            <v>0</v>
          </cell>
          <cell r="AU74">
            <v>0</v>
          </cell>
          <cell r="BC74">
            <v>0</v>
          </cell>
          <cell r="CD74">
            <v>0</v>
          </cell>
          <cell r="CE74">
            <v>0</v>
          </cell>
          <cell r="CS74">
            <v>0</v>
          </cell>
          <cell r="DP74">
            <v>0</v>
          </cell>
          <cell r="DQ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</row>
        <row r="75">
          <cell r="AT75">
            <v>0</v>
          </cell>
          <cell r="AU75">
            <v>0</v>
          </cell>
          <cell r="BC75">
            <v>0</v>
          </cell>
          <cell r="CD75">
            <v>0</v>
          </cell>
          <cell r="CE75">
            <v>0</v>
          </cell>
          <cell r="CS75">
            <v>0</v>
          </cell>
          <cell r="DP75">
            <v>0</v>
          </cell>
          <cell r="DQ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</row>
        <row r="76">
          <cell r="AT76">
            <v>3750</v>
          </cell>
          <cell r="AU76">
            <v>1058.32</v>
          </cell>
          <cell r="BC76">
            <v>0.83</v>
          </cell>
          <cell r="CD76">
            <v>0</v>
          </cell>
          <cell r="CE76">
            <v>0</v>
          </cell>
          <cell r="CS76">
            <v>0</v>
          </cell>
          <cell r="DP76">
            <v>0</v>
          </cell>
          <cell r="DQ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</row>
        <row r="77">
          <cell r="AT77">
            <v>0</v>
          </cell>
          <cell r="AU77">
            <v>0</v>
          </cell>
          <cell r="BC77">
            <v>0</v>
          </cell>
          <cell r="CD77">
            <v>0</v>
          </cell>
          <cell r="CE77">
            <v>0</v>
          </cell>
          <cell r="CS77">
            <v>0</v>
          </cell>
          <cell r="DP77">
            <v>0</v>
          </cell>
          <cell r="DQ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</row>
        <row r="78">
          <cell r="AT78">
            <v>0</v>
          </cell>
          <cell r="AU78">
            <v>0</v>
          </cell>
          <cell r="BC78">
            <v>0</v>
          </cell>
          <cell r="CD78">
            <v>0</v>
          </cell>
          <cell r="CE78">
            <v>0</v>
          </cell>
          <cell r="CS78">
            <v>0</v>
          </cell>
          <cell r="DP78">
            <v>0</v>
          </cell>
          <cell r="DQ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</row>
        <row r="79">
          <cell r="AT79">
            <v>2772</v>
          </cell>
          <cell r="AU79">
            <v>1892.53</v>
          </cell>
          <cell r="BC79">
            <v>63.19</v>
          </cell>
          <cell r="CD79">
            <v>0</v>
          </cell>
          <cell r="CE79">
            <v>0</v>
          </cell>
          <cell r="CS79">
            <v>0</v>
          </cell>
          <cell r="DP79">
            <v>0</v>
          </cell>
          <cell r="DQ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</row>
        <row r="80">
          <cell r="AT80">
            <v>0</v>
          </cell>
          <cell r="AU80">
            <v>0</v>
          </cell>
          <cell r="BC80">
            <v>0</v>
          </cell>
          <cell r="CD80">
            <v>0</v>
          </cell>
          <cell r="CE80">
            <v>0</v>
          </cell>
          <cell r="CS80">
            <v>0</v>
          </cell>
          <cell r="DP80">
            <v>0</v>
          </cell>
          <cell r="DQ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</row>
        <row r="81">
          <cell r="AT81">
            <v>0</v>
          </cell>
          <cell r="AU81">
            <v>0</v>
          </cell>
          <cell r="BC81">
            <v>0</v>
          </cell>
          <cell r="CD81">
            <v>0</v>
          </cell>
          <cell r="CE81">
            <v>0</v>
          </cell>
          <cell r="CS81">
            <v>0</v>
          </cell>
          <cell r="DP81">
            <v>0</v>
          </cell>
          <cell r="DQ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</row>
        <row r="82">
          <cell r="AT82">
            <v>320</v>
          </cell>
          <cell r="AU82">
            <v>184.68</v>
          </cell>
          <cell r="BC82">
            <v>57.25</v>
          </cell>
          <cell r="CD82">
            <v>0</v>
          </cell>
          <cell r="CE82">
            <v>0</v>
          </cell>
          <cell r="CS82">
            <v>0</v>
          </cell>
          <cell r="DP82">
            <v>0</v>
          </cell>
          <cell r="DQ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</row>
        <row r="83">
          <cell r="AT83">
            <v>0</v>
          </cell>
          <cell r="AU83">
            <v>0</v>
          </cell>
          <cell r="BC83">
            <v>0</v>
          </cell>
          <cell r="CD83">
            <v>0</v>
          </cell>
          <cell r="CE83">
            <v>0</v>
          </cell>
          <cell r="CS83">
            <v>0</v>
          </cell>
          <cell r="DP83">
            <v>0</v>
          </cell>
          <cell r="DQ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</row>
        <row r="84">
          <cell r="AT84">
            <v>0</v>
          </cell>
          <cell r="AU84">
            <v>0</v>
          </cell>
          <cell r="BC84">
            <v>0</v>
          </cell>
          <cell r="CD84">
            <v>0</v>
          </cell>
          <cell r="CE84">
            <v>0</v>
          </cell>
          <cell r="CS84">
            <v>0</v>
          </cell>
          <cell r="DP84">
            <v>0</v>
          </cell>
          <cell r="DQ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</row>
        <row r="85">
          <cell r="AT85">
            <v>315</v>
          </cell>
          <cell r="AU85">
            <v>310.58</v>
          </cell>
          <cell r="BC85">
            <v>100</v>
          </cell>
          <cell r="CD85">
            <v>0</v>
          </cell>
          <cell r="CE85">
            <v>0</v>
          </cell>
          <cell r="CS85">
            <v>0</v>
          </cell>
          <cell r="DP85">
            <v>0</v>
          </cell>
          <cell r="DQ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</row>
        <row r="86">
          <cell r="AT86">
            <v>0</v>
          </cell>
          <cell r="AU86">
            <v>0</v>
          </cell>
          <cell r="BC86">
            <v>0</v>
          </cell>
          <cell r="CD86">
            <v>0</v>
          </cell>
          <cell r="CE86">
            <v>0</v>
          </cell>
          <cell r="CS86">
            <v>0</v>
          </cell>
          <cell r="DP86">
            <v>0</v>
          </cell>
          <cell r="DQ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</row>
        <row r="87">
          <cell r="AT87">
            <v>0</v>
          </cell>
          <cell r="AU87">
            <v>0</v>
          </cell>
          <cell r="BC87">
            <v>0</v>
          </cell>
          <cell r="CD87">
            <v>0</v>
          </cell>
          <cell r="CE87">
            <v>0</v>
          </cell>
          <cell r="CS87">
            <v>0</v>
          </cell>
          <cell r="DP87">
            <v>0</v>
          </cell>
          <cell r="DQ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</row>
        <row r="88">
          <cell r="AT88">
            <v>0.1</v>
          </cell>
          <cell r="AU88">
            <v>0</v>
          </cell>
          <cell r="BC88">
            <v>14.9</v>
          </cell>
          <cell r="CD88">
            <v>0</v>
          </cell>
          <cell r="CE88">
            <v>0</v>
          </cell>
          <cell r="CS88">
            <v>0</v>
          </cell>
          <cell r="DP88">
            <v>0</v>
          </cell>
          <cell r="DQ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</row>
        <row r="89">
          <cell r="AT89">
            <v>0</v>
          </cell>
          <cell r="AU89">
            <v>0</v>
          </cell>
          <cell r="BC89">
            <v>0</v>
          </cell>
          <cell r="CD89">
            <v>0</v>
          </cell>
          <cell r="CE89">
            <v>0</v>
          </cell>
          <cell r="CS89">
            <v>0</v>
          </cell>
          <cell r="DP89">
            <v>0</v>
          </cell>
          <cell r="DQ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</row>
        <row r="90">
          <cell r="AT90">
            <v>0</v>
          </cell>
          <cell r="AU90">
            <v>0</v>
          </cell>
          <cell r="BC90">
            <v>0</v>
          </cell>
          <cell r="CD90">
            <v>0</v>
          </cell>
          <cell r="CE90">
            <v>0</v>
          </cell>
          <cell r="CS90">
            <v>0</v>
          </cell>
          <cell r="DP90">
            <v>0</v>
          </cell>
          <cell r="DQ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</row>
        <row r="91">
          <cell r="AT91">
            <v>1350</v>
          </cell>
          <cell r="AU91">
            <v>0</v>
          </cell>
          <cell r="BC91">
            <v>14.91</v>
          </cell>
          <cell r="CD91">
            <v>0</v>
          </cell>
          <cell r="CE91">
            <v>0</v>
          </cell>
          <cell r="CS91">
            <v>0</v>
          </cell>
          <cell r="DP91">
            <v>0</v>
          </cell>
          <cell r="DQ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</row>
        <row r="92">
          <cell r="AT92">
            <v>0</v>
          </cell>
          <cell r="AU92">
            <v>0</v>
          </cell>
          <cell r="BC92">
            <v>0</v>
          </cell>
          <cell r="CD92">
            <v>0</v>
          </cell>
          <cell r="CE92">
            <v>0</v>
          </cell>
          <cell r="CS92">
            <v>0</v>
          </cell>
          <cell r="DP92">
            <v>0</v>
          </cell>
          <cell r="DQ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</row>
        <row r="93">
          <cell r="AT93">
            <v>0</v>
          </cell>
          <cell r="AU93">
            <v>0</v>
          </cell>
          <cell r="BC93">
            <v>0</v>
          </cell>
          <cell r="CD93">
            <v>0</v>
          </cell>
          <cell r="CE93">
            <v>0</v>
          </cell>
          <cell r="CS93">
            <v>0</v>
          </cell>
          <cell r="DP93">
            <v>0</v>
          </cell>
          <cell r="DQ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</row>
        <row r="94">
          <cell r="AT94">
            <v>185</v>
          </cell>
          <cell r="AU94">
            <v>0</v>
          </cell>
          <cell r="BC94">
            <v>92.87</v>
          </cell>
          <cell r="CD94">
            <v>0</v>
          </cell>
          <cell r="CE94">
            <v>0</v>
          </cell>
          <cell r="CS94">
            <v>0</v>
          </cell>
          <cell r="DP94">
            <v>0</v>
          </cell>
          <cell r="DQ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</row>
        <row r="95">
          <cell r="AT95">
            <v>0</v>
          </cell>
          <cell r="AU95">
            <v>0</v>
          </cell>
          <cell r="BC95">
            <v>0</v>
          </cell>
          <cell r="CD95">
            <v>0</v>
          </cell>
          <cell r="CE95">
            <v>0</v>
          </cell>
          <cell r="CS95">
            <v>0</v>
          </cell>
          <cell r="DP95">
            <v>0</v>
          </cell>
          <cell r="DQ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</row>
        <row r="96">
          <cell r="AT96">
            <v>0</v>
          </cell>
          <cell r="AU96">
            <v>0</v>
          </cell>
          <cell r="BC96">
            <v>0</v>
          </cell>
          <cell r="CD96">
            <v>0</v>
          </cell>
          <cell r="CE96">
            <v>0</v>
          </cell>
          <cell r="CS96">
            <v>0</v>
          </cell>
          <cell r="DP96">
            <v>0</v>
          </cell>
          <cell r="DQ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  <cell r="CD97">
            <v>0</v>
          </cell>
          <cell r="CE97">
            <v>0</v>
          </cell>
          <cell r="CS97">
            <v>0</v>
          </cell>
          <cell r="DP97">
            <v>0</v>
          </cell>
          <cell r="DQ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</row>
        <row r="98">
          <cell r="AT98">
            <v>0</v>
          </cell>
          <cell r="AU98">
            <v>0</v>
          </cell>
          <cell r="BC98">
            <v>0</v>
          </cell>
          <cell r="CD98">
            <v>0</v>
          </cell>
          <cell r="CE98">
            <v>0</v>
          </cell>
          <cell r="CS98">
            <v>0</v>
          </cell>
          <cell r="DP98">
            <v>0</v>
          </cell>
          <cell r="DQ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</row>
        <row r="99">
          <cell r="AT99">
            <v>0</v>
          </cell>
          <cell r="AU99">
            <v>0</v>
          </cell>
          <cell r="BC99">
            <v>0</v>
          </cell>
          <cell r="CD99">
            <v>0</v>
          </cell>
          <cell r="CE99">
            <v>0</v>
          </cell>
          <cell r="CS99">
            <v>0</v>
          </cell>
          <cell r="DP99">
            <v>0</v>
          </cell>
          <cell r="DQ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</row>
        <row r="100">
          <cell r="AT100">
            <v>64</v>
          </cell>
          <cell r="AU100">
            <v>11.64</v>
          </cell>
          <cell r="BC100">
            <v>100</v>
          </cell>
          <cell r="CD100">
            <v>0</v>
          </cell>
          <cell r="CE100">
            <v>0</v>
          </cell>
          <cell r="CS100">
            <v>0</v>
          </cell>
          <cell r="DP100">
            <v>0</v>
          </cell>
          <cell r="DQ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</row>
        <row r="101">
          <cell r="AT101">
            <v>0</v>
          </cell>
          <cell r="AU101">
            <v>0</v>
          </cell>
          <cell r="BC101">
            <v>0</v>
          </cell>
          <cell r="CD101">
            <v>0</v>
          </cell>
          <cell r="CE101">
            <v>0</v>
          </cell>
          <cell r="CS101">
            <v>0</v>
          </cell>
          <cell r="DP101">
            <v>0</v>
          </cell>
          <cell r="DQ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</row>
        <row r="102">
          <cell r="AT102">
            <v>0</v>
          </cell>
          <cell r="AU102">
            <v>0</v>
          </cell>
          <cell r="BC102">
            <v>0</v>
          </cell>
          <cell r="CD102">
            <v>0</v>
          </cell>
          <cell r="CE102">
            <v>0</v>
          </cell>
          <cell r="CS102">
            <v>0</v>
          </cell>
          <cell r="DP102">
            <v>0</v>
          </cell>
          <cell r="DQ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</row>
        <row r="103">
          <cell r="AT103">
            <v>732</v>
          </cell>
          <cell r="AU103">
            <v>50.28</v>
          </cell>
          <cell r="BC103">
            <v>93.06</v>
          </cell>
          <cell r="CD103">
            <v>0</v>
          </cell>
          <cell r="CE103">
            <v>0</v>
          </cell>
          <cell r="CS103">
            <v>0</v>
          </cell>
          <cell r="DP103">
            <v>0</v>
          </cell>
          <cell r="DQ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</row>
        <row r="104">
          <cell r="AT104">
            <v>0</v>
          </cell>
          <cell r="AU104">
            <v>0</v>
          </cell>
          <cell r="BC104">
            <v>0</v>
          </cell>
          <cell r="CD104">
            <v>0</v>
          </cell>
          <cell r="CE104">
            <v>0</v>
          </cell>
          <cell r="CS104">
            <v>0</v>
          </cell>
          <cell r="DP104">
            <v>0</v>
          </cell>
          <cell r="DQ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</row>
        <row r="105">
          <cell r="AT105">
            <v>0</v>
          </cell>
          <cell r="AU105">
            <v>0</v>
          </cell>
          <cell r="BC105">
            <v>0</v>
          </cell>
          <cell r="CD105">
            <v>0</v>
          </cell>
          <cell r="CE105">
            <v>0</v>
          </cell>
          <cell r="CS105">
            <v>0</v>
          </cell>
          <cell r="DP105">
            <v>0</v>
          </cell>
          <cell r="DQ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</row>
        <row r="106">
          <cell r="AT106">
            <v>12.5</v>
          </cell>
          <cell r="AU106">
            <v>0</v>
          </cell>
          <cell r="BC106">
            <v>42.96</v>
          </cell>
          <cell r="CD106">
            <v>0</v>
          </cell>
          <cell r="CE106">
            <v>0</v>
          </cell>
          <cell r="CS106">
            <v>0</v>
          </cell>
          <cell r="DP106">
            <v>0</v>
          </cell>
          <cell r="DQ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</row>
        <row r="107">
          <cell r="AT107">
            <v>0</v>
          </cell>
          <cell r="AU107">
            <v>0</v>
          </cell>
          <cell r="BC107">
            <v>0</v>
          </cell>
          <cell r="CD107">
            <v>0</v>
          </cell>
          <cell r="CE107">
            <v>0</v>
          </cell>
          <cell r="CS107">
            <v>0</v>
          </cell>
          <cell r="DP107">
            <v>0</v>
          </cell>
          <cell r="DQ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</row>
        <row r="108">
          <cell r="AT108">
            <v>0</v>
          </cell>
          <cell r="AU108">
            <v>0</v>
          </cell>
          <cell r="BC108">
            <v>0</v>
          </cell>
          <cell r="CD108">
            <v>0</v>
          </cell>
          <cell r="CE108">
            <v>0</v>
          </cell>
          <cell r="CS108">
            <v>0</v>
          </cell>
          <cell r="DP108">
            <v>0</v>
          </cell>
          <cell r="DQ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  <cell r="CD109">
            <v>0</v>
          </cell>
          <cell r="CE109">
            <v>0</v>
          </cell>
          <cell r="CS109">
            <v>0</v>
          </cell>
          <cell r="DP109">
            <v>0</v>
          </cell>
          <cell r="DQ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</row>
        <row r="110">
          <cell r="AT110">
            <v>0</v>
          </cell>
          <cell r="AU110">
            <v>0</v>
          </cell>
          <cell r="BC110">
            <v>0</v>
          </cell>
          <cell r="CD110">
            <v>0</v>
          </cell>
          <cell r="CE110">
            <v>0</v>
          </cell>
          <cell r="CS110">
            <v>0</v>
          </cell>
          <cell r="DP110">
            <v>0</v>
          </cell>
          <cell r="DQ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</row>
        <row r="111">
          <cell r="AT111">
            <v>0</v>
          </cell>
          <cell r="AU111">
            <v>0</v>
          </cell>
          <cell r="BC111">
            <v>0</v>
          </cell>
          <cell r="CD111">
            <v>0</v>
          </cell>
          <cell r="CE111">
            <v>0</v>
          </cell>
          <cell r="CS111">
            <v>0</v>
          </cell>
          <cell r="DP111">
            <v>0</v>
          </cell>
          <cell r="DQ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</row>
        <row r="112">
          <cell r="AT112">
            <v>50</v>
          </cell>
          <cell r="AU112">
            <v>0</v>
          </cell>
          <cell r="BC112">
            <v>100</v>
          </cell>
          <cell r="CD112">
            <v>0</v>
          </cell>
          <cell r="CE112">
            <v>0</v>
          </cell>
          <cell r="CS112">
            <v>0</v>
          </cell>
          <cell r="DP112">
            <v>0</v>
          </cell>
          <cell r="DQ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</row>
        <row r="113">
          <cell r="AT113">
            <v>0</v>
          </cell>
          <cell r="AU113">
            <v>0</v>
          </cell>
          <cell r="BC113">
            <v>0</v>
          </cell>
          <cell r="CD113">
            <v>0</v>
          </cell>
          <cell r="CE113">
            <v>0</v>
          </cell>
          <cell r="CS113">
            <v>0</v>
          </cell>
          <cell r="DP113">
            <v>0</v>
          </cell>
          <cell r="DQ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</row>
        <row r="114">
          <cell r="AT114">
            <v>0</v>
          </cell>
          <cell r="AU114">
            <v>0</v>
          </cell>
          <cell r="BC114">
            <v>0</v>
          </cell>
          <cell r="CD114">
            <v>0</v>
          </cell>
          <cell r="CE114">
            <v>0</v>
          </cell>
          <cell r="CS114">
            <v>0</v>
          </cell>
          <cell r="DP114">
            <v>0</v>
          </cell>
          <cell r="DQ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  <cell r="CD115">
            <v>0</v>
          </cell>
          <cell r="CE115">
            <v>0</v>
          </cell>
          <cell r="CS115">
            <v>0</v>
          </cell>
          <cell r="DP115">
            <v>0</v>
          </cell>
          <cell r="DQ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</row>
        <row r="116">
          <cell r="AT116">
            <v>0</v>
          </cell>
          <cell r="AU116">
            <v>0</v>
          </cell>
          <cell r="BC116">
            <v>0</v>
          </cell>
          <cell r="CD116">
            <v>0</v>
          </cell>
          <cell r="CE116">
            <v>0</v>
          </cell>
          <cell r="CS116">
            <v>0</v>
          </cell>
          <cell r="DP116">
            <v>0</v>
          </cell>
          <cell r="DQ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</row>
        <row r="117">
          <cell r="AT117">
            <v>0</v>
          </cell>
          <cell r="AU117">
            <v>0</v>
          </cell>
          <cell r="BC117">
            <v>0</v>
          </cell>
          <cell r="CD117">
            <v>0</v>
          </cell>
          <cell r="CE117">
            <v>0</v>
          </cell>
          <cell r="CS117">
            <v>0</v>
          </cell>
          <cell r="DP117">
            <v>0</v>
          </cell>
          <cell r="DQ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  <cell r="CD118">
            <v>0</v>
          </cell>
          <cell r="CE118">
            <v>0</v>
          </cell>
          <cell r="CS118">
            <v>0</v>
          </cell>
          <cell r="DP118">
            <v>0</v>
          </cell>
          <cell r="DQ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</row>
        <row r="119">
          <cell r="AT119">
            <v>0</v>
          </cell>
          <cell r="AU119">
            <v>0</v>
          </cell>
          <cell r="BC119">
            <v>0</v>
          </cell>
          <cell r="CD119">
            <v>0</v>
          </cell>
          <cell r="CE119">
            <v>0</v>
          </cell>
          <cell r="CS119">
            <v>0</v>
          </cell>
          <cell r="DP119">
            <v>0</v>
          </cell>
          <cell r="DQ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</row>
        <row r="120">
          <cell r="AT120">
            <v>0</v>
          </cell>
          <cell r="AU120">
            <v>0</v>
          </cell>
          <cell r="BC120">
            <v>0</v>
          </cell>
          <cell r="CD120">
            <v>0</v>
          </cell>
          <cell r="CE120">
            <v>0</v>
          </cell>
          <cell r="CS120">
            <v>0</v>
          </cell>
          <cell r="DP120">
            <v>0</v>
          </cell>
          <cell r="DQ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</row>
        <row r="121">
          <cell r="AT121">
            <v>50</v>
          </cell>
          <cell r="AU121">
            <v>0</v>
          </cell>
          <cell r="BC121">
            <v>35.99</v>
          </cell>
          <cell r="CD121">
            <v>0</v>
          </cell>
          <cell r="CE121">
            <v>0</v>
          </cell>
          <cell r="CS121">
            <v>0</v>
          </cell>
          <cell r="DP121">
            <v>0</v>
          </cell>
          <cell r="DQ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</row>
        <row r="122">
          <cell r="AT122">
            <v>0</v>
          </cell>
          <cell r="AU122">
            <v>0</v>
          </cell>
          <cell r="BC122">
            <v>0</v>
          </cell>
          <cell r="CD122">
            <v>0</v>
          </cell>
          <cell r="CE122">
            <v>0</v>
          </cell>
          <cell r="CS122">
            <v>0</v>
          </cell>
          <cell r="DP122">
            <v>0</v>
          </cell>
          <cell r="DQ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</row>
        <row r="123">
          <cell r="AT123">
            <v>0</v>
          </cell>
          <cell r="AU123">
            <v>0</v>
          </cell>
          <cell r="BC123">
            <v>0</v>
          </cell>
          <cell r="CD123">
            <v>0</v>
          </cell>
          <cell r="CE123">
            <v>0</v>
          </cell>
          <cell r="CS123">
            <v>0</v>
          </cell>
          <cell r="DP123">
            <v>0</v>
          </cell>
          <cell r="DQ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  <cell r="CD124">
            <v>0</v>
          </cell>
          <cell r="CE124">
            <v>0</v>
          </cell>
          <cell r="CS124">
            <v>0</v>
          </cell>
          <cell r="DP124">
            <v>0</v>
          </cell>
          <cell r="DQ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</row>
        <row r="125">
          <cell r="AT125">
            <v>0</v>
          </cell>
          <cell r="AU125">
            <v>0</v>
          </cell>
          <cell r="BC125">
            <v>0</v>
          </cell>
          <cell r="CD125">
            <v>0</v>
          </cell>
          <cell r="CE125">
            <v>0</v>
          </cell>
          <cell r="CS125">
            <v>0</v>
          </cell>
          <cell r="DP125">
            <v>0</v>
          </cell>
          <cell r="DQ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</row>
        <row r="126">
          <cell r="AT126">
            <v>0</v>
          </cell>
          <cell r="AU126">
            <v>0</v>
          </cell>
          <cell r="BC126">
            <v>0</v>
          </cell>
          <cell r="CD126">
            <v>0</v>
          </cell>
          <cell r="CE126">
            <v>0</v>
          </cell>
          <cell r="CS126">
            <v>0</v>
          </cell>
          <cell r="DP126">
            <v>0</v>
          </cell>
          <cell r="DQ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  <cell r="CD127">
            <v>0</v>
          </cell>
          <cell r="CE127">
            <v>0</v>
          </cell>
          <cell r="CS127">
            <v>0</v>
          </cell>
          <cell r="DP127">
            <v>0</v>
          </cell>
          <cell r="DQ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</row>
        <row r="128">
          <cell r="AT128">
            <v>0</v>
          </cell>
          <cell r="AU128">
            <v>0</v>
          </cell>
          <cell r="BC128">
            <v>0</v>
          </cell>
          <cell r="CD128">
            <v>0</v>
          </cell>
          <cell r="CE128">
            <v>0</v>
          </cell>
          <cell r="CS128">
            <v>0</v>
          </cell>
          <cell r="DP128">
            <v>0</v>
          </cell>
          <cell r="DQ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</row>
        <row r="129">
          <cell r="AT129">
            <v>0</v>
          </cell>
          <cell r="AU129">
            <v>0</v>
          </cell>
          <cell r="BC129">
            <v>0</v>
          </cell>
          <cell r="CD129">
            <v>0</v>
          </cell>
          <cell r="CE129">
            <v>0</v>
          </cell>
          <cell r="CS129">
            <v>0</v>
          </cell>
          <cell r="DP129">
            <v>0</v>
          </cell>
          <cell r="DQ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  <cell r="CD130">
            <v>0</v>
          </cell>
          <cell r="CE130">
            <v>0</v>
          </cell>
          <cell r="CS130">
            <v>0</v>
          </cell>
          <cell r="DP130">
            <v>0</v>
          </cell>
          <cell r="DQ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</row>
        <row r="131">
          <cell r="AT131">
            <v>0</v>
          </cell>
          <cell r="AU131">
            <v>0</v>
          </cell>
          <cell r="BC131">
            <v>0</v>
          </cell>
          <cell r="CD131">
            <v>0</v>
          </cell>
          <cell r="CE131">
            <v>0</v>
          </cell>
          <cell r="CS131">
            <v>0</v>
          </cell>
          <cell r="DP131">
            <v>0</v>
          </cell>
          <cell r="DQ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</row>
        <row r="132">
          <cell r="AT132">
            <v>0</v>
          </cell>
          <cell r="AU132">
            <v>0</v>
          </cell>
          <cell r="BC132">
            <v>0</v>
          </cell>
          <cell r="CD132">
            <v>0</v>
          </cell>
          <cell r="CE132">
            <v>0</v>
          </cell>
          <cell r="CS132">
            <v>0</v>
          </cell>
          <cell r="DP132">
            <v>0</v>
          </cell>
          <cell r="DQ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</row>
        <row r="133">
          <cell r="AT133">
            <v>25</v>
          </cell>
          <cell r="AU133">
            <v>0</v>
          </cell>
          <cell r="BC133">
            <v>100</v>
          </cell>
          <cell r="CD133">
            <v>0</v>
          </cell>
          <cell r="CE133">
            <v>0</v>
          </cell>
          <cell r="CS133">
            <v>0</v>
          </cell>
          <cell r="DP133">
            <v>0</v>
          </cell>
          <cell r="DQ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</row>
        <row r="134">
          <cell r="AT134">
            <v>0</v>
          </cell>
          <cell r="AU134">
            <v>0</v>
          </cell>
          <cell r="BC134">
            <v>0</v>
          </cell>
          <cell r="CD134">
            <v>0</v>
          </cell>
          <cell r="CE134">
            <v>0</v>
          </cell>
          <cell r="CS134">
            <v>0</v>
          </cell>
          <cell r="DP134">
            <v>0</v>
          </cell>
          <cell r="DQ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</row>
        <row r="135">
          <cell r="AT135">
            <v>0</v>
          </cell>
          <cell r="AU135">
            <v>0</v>
          </cell>
          <cell r="BC135">
            <v>0</v>
          </cell>
          <cell r="CD135">
            <v>0</v>
          </cell>
          <cell r="CE135">
            <v>0</v>
          </cell>
          <cell r="CS135">
            <v>0</v>
          </cell>
          <cell r="DP135">
            <v>0</v>
          </cell>
          <cell r="DQ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</row>
        <row r="136">
          <cell r="AT136">
            <v>50</v>
          </cell>
          <cell r="AU136">
            <v>0</v>
          </cell>
          <cell r="BC136">
            <v>100</v>
          </cell>
          <cell r="CD136">
            <v>0</v>
          </cell>
          <cell r="CE136">
            <v>0</v>
          </cell>
          <cell r="CS136">
            <v>0</v>
          </cell>
          <cell r="DP136">
            <v>0</v>
          </cell>
          <cell r="DQ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</row>
        <row r="137">
          <cell r="AT137">
            <v>0</v>
          </cell>
          <cell r="AU137">
            <v>0</v>
          </cell>
          <cell r="BC137">
            <v>0</v>
          </cell>
          <cell r="CD137">
            <v>0</v>
          </cell>
          <cell r="CE137">
            <v>0</v>
          </cell>
          <cell r="CS137">
            <v>0</v>
          </cell>
          <cell r="DP137">
            <v>0</v>
          </cell>
          <cell r="DQ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</row>
        <row r="138">
          <cell r="AT138">
            <v>0</v>
          </cell>
          <cell r="AU138">
            <v>0</v>
          </cell>
          <cell r="BC138">
            <v>0</v>
          </cell>
          <cell r="CD138">
            <v>0</v>
          </cell>
          <cell r="CE138">
            <v>0</v>
          </cell>
          <cell r="CS138">
            <v>0</v>
          </cell>
          <cell r="DP138">
            <v>0</v>
          </cell>
          <cell r="DQ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  <cell r="CD139">
            <v>0</v>
          </cell>
          <cell r="CE139">
            <v>0</v>
          </cell>
          <cell r="CS139">
            <v>0</v>
          </cell>
          <cell r="DP139">
            <v>0</v>
          </cell>
          <cell r="DQ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</row>
        <row r="140">
          <cell r="AT140">
            <v>0</v>
          </cell>
          <cell r="AU140">
            <v>0</v>
          </cell>
          <cell r="BC140">
            <v>0</v>
          </cell>
          <cell r="CD140">
            <v>0</v>
          </cell>
          <cell r="CE140">
            <v>0</v>
          </cell>
          <cell r="CS140">
            <v>0</v>
          </cell>
          <cell r="DP140">
            <v>0</v>
          </cell>
          <cell r="DQ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</row>
        <row r="141">
          <cell r="AT141">
            <v>0</v>
          </cell>
          <cell r="AU141">
            <v>0</v>
          </cell>
          <cell r="BC141">
            <v>0</v>
          </cell>
          <cell r="CD141">
            <v>0</v>
          </cell>
          <cell r="CE141">
            <v>0</v>
          </cell>
          <cell r="CS141">
            <v>0</v>
          </cell>
          <cell r="DP141">
            <v>0</v>
          </cell>
          <cell r="DQ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  <cell r="CD142">
            <v>0</v>
          </cell>
          <cell r="CE142">
            <v>0</v>
          </cell>
          <cell r="CS142">
            <v>0</v>
          </cell>
          <cell r="DP142">
            <v>0</v>
          </cell>
          <cell r="DQ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</row>
        <row r="143">
          <cell r="AT143">
            <v>0</v>
          </cell>
          <cell r="AU143">
            <v>0</v>
          </cell>
          <cell r="BC143">
            <v>0</v>
          </cell>
          <cell r="CD143">
            <v>0</v>
          </cell>
          <cell r="CE143">
            <v>0</v>
          </cell>
          <cell r="CS143">
            <v>0</v>
          </cell>
          <cell r="DP143">
            <v>0</v>
          </cell>
          <cell r="DQ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</row>
        <row r="144">
          <cell r="AT144">
            <v>0</v>
          </cell>
          <cell r="AU144">
            <v>0</v>
          </cell>
          <cell r="BC144">
            <v>0</v>
          </cell>
          <cell r="CD144">
            <v>0</v>
          </cell>
          <cell r="CE144">
            <v>0</v>
          </cell>
          <cell r="CS144">
            <v>0</v>
          </cell>
          <cell r="DP144">
            <v>0</v>
          </cell>
          <cell r="DQ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  <cell r="CD145">
            <v>0</v>
          </cell>
          <cell r="CE145">
            <v>0</v>
          </cell>
          <cell r="CS145">
            <v>0</v>
          </cell>
          <cell r="DP145">
            <v>0</v>
          </cell>
          <cell r="DQ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</row>
        <row r="146">
          <cell r="AT146">
            <v>0</v>
          </cell>
          <cell r="AU146">
            <v>0</v>
          </cell>
          <cell r="BC146">
            <v>0</v>
          </cell>
          <cell r="CD146">
            <v>0</v>
          </cell>
          <cell r="CE146">
            <v>0</v>
          </cell>
          <cell r="CS146">
            <v>0</v>
          </cell>
          <cell r="DP146">
            <v>0</v>
          </cell>
          <cell r="DQ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</row>
        <row r="147">
          <cell r="AT147">
            <v>0</v>
          </cell>
          <cell r="AU147">
            <v>0</v>
          </cell>
          <cell r="BC147">
            <v>0</v>
          </cell>
          <cell r="CD147">
            <v>0</v>
          </cell>
          <cell r="CE147">
            <v>0</v>
          </cell>
          <cell r="CS147">
            <v>0</v>
          </cell>
          <cell r="DP147">
            <v>0</v>
          </cell>
          <cell r="DQ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  <cell r="CD148">
            <v>0</v>
          </cell>
          <cell r="CE148">
            <v>0</v>
          </cell>
          <cell r="CS148">
            <v>0</v>
          </cell>
          <cell r="DP148">
            <v>0</v>
          </cell>
          <cell r="DQ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</row>
        <row r="149">
          <cell r="AT149">
            <v>0</v>
          </cell>
          <cell r="AU149">
            <v>0</v>
          </cell>
          <cell r="BC149">
            <v>0</v>
          </cell>
          <cell r="CD149">
            <v>0</v>
          </cell>
          <cell r="CE149">
            <v>0</v>
          </cell>
          <cell r="CS149">
            <v>0</v>
          </cell>
          <cell r="DP149">
            <v>0</v>
          </cell>
          <cell r="DQ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</row>
        <row r="150">
          <cell r="AT150">
            <v>0</v>
          </cell>
          <cell r="AU150">
            <v>0</v>
          </cell>
          <cell r="BC150">
            <v>0</v>
          </cell>
          <cell r="CD150">
            <v>0</v>
          </cell>
          <cell r="CE150">
            <v>0</v>
          </cell>
          <cell r="CS150">
            <v>0</v>
          </cell>
          <cell r="DP150">
            <v>0</v>
          </cell>
          <cell r="DQ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</row>
        <row r="151">
          <cell r="AT151">
            <v>1190</v>
          </cell>
          <cell r="AU151">
            <v>727.64</v>
          </cell>
          <cell r="BC151">
            <v>0.44</v>
          </cell>
          <cell r="CD151">
            <v>0</v>
          </cell>
          <cell r="CE151">
            <v>0</v>
          </cell>
          <cell r="CS151">
            <v>0</v>
          </cell>
          <cell r="DP151">
            <v>0</v>
          </cell>
          <cell r="DQ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</row>
        <row r="152">
          <cell r="AT152">
            <v>0</v>
          </cell>
          <cell r="AU152">
            <v>0</v>
          </cell>
          <cell r="BC152">
            <v>0</v>
          </cell>
          <cell r="CD152">
            <v>0</v>
          </cell>
          <cell r="CE152">
            <v>0</v>
          </cell>
          <cell r="CS152">
            <v>0</v>
          </cell>
          <cell r="DP152">
            <v>0</v>
          </cell>
          <cell r="DQ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</row>
        <row r="153">
          <cell r="AT153">
            <v>0</v>
          </cell>
          <cell r="AU153">
            <v>0</v>
          </cell>
          <cell r="BC153">
            <v>0</v>
          </cell>
          <cell r="CD153">
            <v>0</v>
          </cell>
          <cell r="CE153">
            <v>0</v>
          </cell>
          <cell r="CS153">
            <v>0</v>
          </cell>
          <cell r="DP153">
            <v>0</v>
          </cell>
          <cell r="DQ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</row>
        <row r="154">
          <cell r="AT154">
            <v>12.5</v>
          </cell>
          <cell r="AU154">
            <v>0</v>
          </cell>
          <cell r="BC154">
            <v>100</v>
          </cell>
          <cell r="CD154">
            <v>0</v>
          </cell>
          <cell r="CE154">
            <v>0</v>
          </cell>
          <cell r="CS154">
            <v>0</v>
          </cell>
          <cell r="DP154">
            <v>0</v>
          </cell>
          <cell r="DQ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</row>
        <row r="155">
          <cell r="AT155">
            <v>0</v>
          </cell>
          <cell r="AU155">
            <v>0</v>
          </cell>
          <cell r="BC155">
            <v>0</v>
          </cell>
          <cell r="CD155">
            <v>0</v>
          </cell>
          <cell r="CE155">
            <v>0</v>
          </cell>
          <cell r="CS155">
            <v>0</v>
          </cell>
          <cell r="DP155">
            <v>0</v>
          </cell>
          <cell r="DQ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</row>
        <row r="156">
          <cell r="AT156">
            <v>0</v>
          </cell>
          <cell r="AU156">
            <v>0</v>
          </cell>
          <cell r="BC156">
            <v>0</v>
          </cell>
          <cell r="CD156">
            <v>0</v>
          </cell>
          <cell r="CE156">
            <v>0</v>
          </cell>
          <cell r="CS156">
            <v>0</v>
          </cell>
          <cell r="DP156">
            <v>0</v>
          </cell>
          <cell r="DQ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  <cell r="CD157">
            <v>0</v>
          </cell>
          <cell r="CE157">
            <v>0</v>
          </cell>
          <cell r="CS157">
            <v>0</v>
          </cell>
          <cell r="DP157">
            <v>0</v>
          </cell>
          <cell r="DQ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</row>
        <row r="158">
          <cell r="AT158">
            <v>0</v>
          </cell>
          <cell r="AU158">
            <v>0</v>
          </cell>
          <cell r="BC158">
            <v>0</v>
          </cell>
          <cell r="CD158">
            <v>0</v>
          </cell>
          <cell r="CE158">
            <v>0</v>
          </cell>
          <cell r="CS158">
            <v>0</v>
          </cell>
          <cell r="DP158">
            <v>0</v>
          </cell>
          <cell r="DQ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</row>
        <row r="159">
          <cell r="AT159">
            <v>0</v>
          </cell>
          <cell r="AU159">
            <v>0</v>
          </cell>
          <cell r="BC159">
            <v>0</v>
          </cell>
          <cell r="CD159">
            <v>0</v>
          </cell>
          <cell r="CE159">
            <v>0</v>
          </cell>
          <cell r="CS159">
            <v>0</v>
          </cell>
          <cell r="DP159">
            <v>0</v>
          </cell>
          <cell r="DQ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</row>
        <row r="160">
          <cell r="AT160">
            <v>25</v>
          </cell>
          <cell r="AU160">
            <v>0</v>
          </cell>
          <cell r="BC160">
            <v>2.31</v>
          </cell>
          <cell r="CD160">
            <v>0</v>
          </cell>
          <cell r="CE160">
            <v>0</v>
          </cell>
          <cell r="CS160">
            <v>0</v>
          </cell>
          <cell r="DP160">
            <v>0</v>
          </cell>
          <cell r="DQ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</row>
        <row r="161">
          <cell r="AT161">
            <v>0</v>
          </cell>
          <cell r="AU161">
            <v>0</v>
          </cell>
          <cell r="BC161">
            <v>0</v>
          </cell>
          <cell r="CD161">
            <v>0</v>
          </cell>
          <cell r="CE161">
            <v>0</v>
          </cell>
          <cell r="CS161">
            <v>0</v>
          </cell>
          <cell r="DP161">
            <v>0</v>
          </cell>
          <cell r="DQ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</row>
        <row r="162">
          <cell r="AT162">
            <v>0</v>
          </cell>
          <cell r="AU162">
            <v>0</v>
          </cell>
          <cell r="BC162">
            <v>0</v>
          </cell>
          <cell r="CD162">
            <v>0</v>
          </cell>
          <cell r="CE162">
            <v>0</v>
          </cell>
          <cell r="CS162">
            <v>0</v>
          </cell>
          <cell r="DP162">
            <v>0</v>
          </cell>
          <cell r="DQ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</row>
        <row r="163">
          <cell r="AT163">
            <v>50</v>
          </cell>
          <cell r="AU163">
            <v>0</v>
          </cell>
          <cell r="BC163">
            <v>0.41</v>
          </cell>
          <cell r="CD163">
            <v>0</v>
          </cell>
          <cell r="CE163">
            <v>0</v>
          </cell>
          <cell r="CS163">
            <v>0</v>
          </cell>
          <cell r="DP163">
            <v>0</v>
          </cell>
          <cell r="DQ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</row>
        <row r="164">
          <cell r="AT164">
            <v>0</v>
          </cell>
          <cell r="AU164">
            <v>0</v>
          </cell>
          <cell r="BC164">
            <v>0</v>
          </cell>
          <cell r="CD164">
            <v>0</v>
          </cell>
          <cell r="CE164">
            <v>0</v>
          </cell>
          <cell r="CS164">
            <v>0</v>
          </cell>
          <cell r="DP164">
            <v>0</v>
          </cell>
          <cell r="DQ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</row>
        <row r="165">
          <cell r="AT165">
            <v>0</v>
          </cell>
          <cell r="AU165">
            <v>0</v>
          </cell>
          <cell r="BC165">
            <v>0</v>
          </cell>
          <cell r="CD165">
            <v>0</v>
          </cell>
          <cell r="CE165">
            <v>0</v>
          </cell>
          <cell r="CS165">
            <v>0</v>
          </cell>
          <cell r="DP165">
            <v>0</v>
          </cell>
          <cell r="DQ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</row>
        <row r="166">
          <cell r="AT166">
            <v>25</v>
          </cell>
          <cell r="AU166">
            <v>0</v>
          </cell>
          <cell r="BC166">
            <v>2.77</v>
          </cell>
          <cell r="CD166">
            <v>0</v>
          </cell>
          <cell r="CE166">
            <v>0</v>
          </cell>
          <cell r="CS166">
            <v>0</v>
          </cell>
          <cell r="DP166">
            <v>0</v>
          </cell>
          <cell r="DQ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</row>
        <row r="167">
          <cell r="AT167">
            <v>0</v>
          </cell>
          <cell r="AU167">
            <v>0</v>
          </cell>
          <cell r="BC167">
            <v>0</v>
          </cell>
          <cell r="CD167">
            <v>0</v>
          </cell>
          <cell r="CE167">
            <v>0</v>
          </cell>
          <cell r="CS167">
            <v>0</v>
          </cell>
          <cell r="DP167">
            <v>0</v>
          </cell>
          <cell r="DQ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</row>
        <row r="168">
          <cell r="AT168">
            <v>0</v>
          </cell>
          <cell r="AU168">
            <v>0</v>
          </cell>
          <cell r="BC168">
            <v>0</v>
          </cell>
          <cell r="CD168">
            <v>0</v>
          </cell>
          <cell r="CE168">
            <v>0</v>
          </cell>
          <cell r="CS168">
            <v>0</v>
          </cell>
          <cell r="DP168">
            <v>0</v>
          </cell>
          <cell r="DQ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  <cell r="CD169">
            <v>0</v>
          </cell>
          <cell r="CE169">
            <v>0</v>
          </cell>
          <cell r="CS169">
            <v>0</v>
          </cell>
          <cell r="DP169">
            <v>0</v>
          </cell>
          <cell r="DQ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</row>
        <row r="170">
          <cell r="AT170">
            <v>0</v>
          </cell>
          <cell r="AU170">
            <v>0</v>
          </cell>
          <cell r="BC170">
            <v>0</v>
          </cell>
          <cell r="CD170">
            <v>0</v>
          </cell>
          <cell r="CE170">
            <v>0</v>
          </cell>
          <cell r="CS170">
            <v>0</v>
          </cell>
          <cell r="DP170">
            <v>0</v>
          </cell>
          <cell r="DQ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</row>
        <row r="171">
          <cell r="AT171">
            <v>0</v>
          </cell>
          <cell r="AU171">
            <v>0</v>
          </cell>
          <cell r="BC171">
            <v>0</v>
          </cell>
          <cell r="CD171">
            <v>0</v>
          </cell>
          <cell r="CE171">
            <v>0</v>
          </cell>
          <cell r="CS171">
            <v>0</v>
          </cell>
          <cell r="DP171">
            <v>0</v>
          </cell>
          <cell r="DQ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  <cell r="CD172">
            <v>0</v>
          </cell>
          <cell r="CE172">
            <v>0</v>
          </cell>
          <cell r="CS172">
            <v>0</v>
          </cell>
          <cell r="DP172">
            <v>0</v>
          </cell>
          <cell r="DQ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</row>
        <row r="173">
          <cell r="AT173">
            <v>0</v>
          </cell>
          <cell r="AU173">
            <v>0</v>
          </cell>
          <cell r="BC173">
            <v>0</v>
          </cell>
          <cell r="CD173">
            <v>0</v>
          </cell>
          <cell r="CE173">
            <v>0</v>
          </cell>
          <cell r="CS173">
            <v>0</v>
          </cell>
          <cell r="DP173">
            <v>0</v>
          </cell>
          <cell r="DQ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</row>
        <row r="174">
          <cell r="AT174">
            <v>0</v>
          </cell>
          <cell r="AU174">
            <v>0</v>
          </cell>
          <cell r="BC174">
            <v>0</v>
          </cell>
          <cell r="CD174">
            <v>0</v>
          </cell>
          <cell r="CE174">
            <v>0</v>
          </cell>
          <cell r="CS174">
            <v>0</v>
          </cell>
          <cell r="DP174">
            <v>0</v>
          </cell>
          <cell r="DQ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</row>
        <row r="175">
          <cell r="AT175">
            <v>25</v>
          </cell>
          <cell r="AU175">
            <v>0</v>
          </cell>
          <cell r="BC175">
            <v>2.65</v>
          </cell>
          <cell r="CD175">
            <v>0</v>
          </cell>
          <cell r="CE175">
            <v>0</v>
          </cell>
          <cell r="CS175">
            <v>0</v>
          </cell>
          <cell r="DP175">
            <v>0</v>
          </cell>
          <cell r="DQ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</row>
        <row r="176">
          <cell r="AT176">
            <v>0</v>
          </cell>
          <cell r="AU176">
            <v>0</v>
          </cell>
          <cell r="BC176">
            <v>0</v>
          </cell>
          <cell r="CD176">
            <v>0</v>
          </cell>
          <cell r="CE176">
            <v>0</v>
          </cell>
          <cell r="CS176">
            <v>0</v>
          </cell>
          <cell r="DP176">
            <v>0</v>
          </cell>
          <cell r="DQ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</row>
        <row r="177">
          <cell r="AT177">
            <v>0</v>
          </cell>
          <cell r="AU177">
            <v>0</v>
          </cell>
          <cell r="BC177">
            <v>0</v>
          </cell>
          <cell r="CD177">
            <v>0</v>
          </cell>
          <cell r="CE177">
            <v>0</v>
          </cell>
          <cell r="CS177">
            <v>0</v>
          </cell>
          <cell r="DP177">
            <v>0</v>
          </cell>
          <cell r="DQ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</row>
        <row r="178">
          <cell r="AT178">
            <v>25</v>
          </cell>
          <cell r="AU178">
            <v>0</v>
          </cell>
          <cell r="BC178">
            <v>83.49</v>
          </cell>
          <cell r="CD178">
            <v>0</v>
          </cell>
          <cell r="CE178">
            <v>0</v>
          </cell>
          <cell r="CS178">
            <v>0</v>
          </cell>
          <cell r="DP178">
            <v>0</v>
          </cell>
          <cell r="DQ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</row>
        <row r="179">
          <cell r="AT179">
            <v>0</v>
          </cell>
          <cell r="AU179">
            <v>0</v>
          </cell>
          <cell r="BC179">
            <v>0</v>
          </cell>
          <cell r="CD179">
            <v>0</v>
          </cell>
          <cell r="CE179">
            <v>0</v>
          </cell>
          <cell r="CS179">
            <v>0</v>
          </cell>
          <cell r="DP179">
            <v>0</v>
          </cell>
          <cell r="DQ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</row>
        <row r="180">
          <cell r="AT180">
            <v>0</v>
          </cell>
          <cell r="AU180">
            <v>0</v>
          </cell>
          <cell r="BC180">
            <v>0</v>
          </cell>
          <cell r="CD180">
            <v>0</v>
          </cell>
          <cell r="CE180">
            <v>0</v>
          </cell>
          <cell r="CS180">
            <v>0</v>
          </cell>
          <cell r="DP180">
            <v>0</v>
          </cell>
          <cell r="DQ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  <cell r="CD181">
            <v>0</v>
          </cell>
          <cell r="CE181">
            <v>0</v>
          </cell>
          <cell r="CS181">
            <v>0</v>
          </cell>
          <cell r="DP181">
            <v>0</v>
          </cell>
          <cell r="DQ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</row>
        <row r="182">
          <cell r="AT182">
            <v>0</v>
          </cell>
          <cell r="AU182">
            <v>0</v>
          </cell>
          <cell r="BC182">
            <v>0</v>
          </cell>
          <cell r="CD182">
            <v>0</v>
          </cell>
          <cell r="CE182">
            <v>0</v>
          </cell>
          <cell r="CS182">
            <v>0</v>
          </cell>
          <cell r="DP182">
            <v>0</v>
          </cell>
          <cell r="DQ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</row>
        <row r="183">
          <cell r="AT183">
            <v>0</v>
          </cell>
          <cell r="AU183">
            <v>0</v>
          </cell>
          <cell r="BC183">
            <v>0</v>
          </cell>
          <cell r="CD183">
            <v>0</v>
          </cell>
          <cell r="CE183">
            <v>0</v>
          </cell>
          <cell r="CS183">
            <v>0</v>
          </cell>
          <cell r="DP183">
            <v>0</v>
          </cell>
          <cell r="DQ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</row>
        <row r="184">
          <cell r="AT184">
            <v>12.5</v>
          </cell>
          <cell r="AU184">
            <v>0</v>
          </cell>
          <cell r="BC184">
            <v>2.42</v>
          </cell>
          <cell r="CD184">
            <v>0</v>
          </cell>
          <cell r="CE184">
            <v>0</v>
          </cell>
          <cell r="CS184">
            <v>0</v>
          </cell>
          <cell r="DP184">
            <v>0</v>
          </cell>
          <cell r="DQ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</row>
        <row r="185">
          <cell r="AT185">
            <v>0</v>
          </cell>
          <cell r="AU185">
            <v>0</v>
          </cell>
          <cell r="BC185">
            <v>0</v>
          </cell>
          <cell r="CD185">
            <v>0</v>
          </cell>
          <cell r="CE185">
            <v>0</v>
          </cell>
          <cell r="CS185">
            <v>0</v>
          </cell>
          <cell r="DP185">
            <v>0</v>
          </cell>
          <cell r="DQ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</row>
        <row r="186">
          <cell r="AT186">
            <v>0</v>
          </cell>
          <cell r="AU186">
            <v>0</v>
          </cell>
          <cell r="BC186">
            <v>0</v>
          </cell>
          <cell r="CD186">
            <v>0</v>
          </cell>
          <cell r="CE186">
            <v>0</v>
          </cell>
          <cell r="CS186">
            <v>0</v>
          </cell>
          <cell r="DP186">
            <v>0</v>
          </cell>
          <cell r="DQ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</row>
        <row r="187">
          <cell r="AT187">
            <v>25</v>
          </cell>
          <cell r="AU187">
            <v>0</v>
          </cell>
          <cell r="BC187">
            <v>3.17</v>
          </cell>
          <cell r="CD187">
            <v>0</v>
          </cell>
          <cell r="CE187">
            <v>0</v>
          </cell>
          <cell r="CS187">
            <v>0</v>
          </cell>
          <cell r="DP187">
            <v>0</v>
          </cell>
          <cell r="DQ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</row>
        <row r="188">
          <cell r="AT188">
            <v>0</v>
          </cell>
          <cell r="AU188">
            <v>0</v>
          </cell>
          <cell r="BC188">
            <v>0</v>
          </cell>
          <cell r="CD188">
            <v>0</v>
          </cell>
          <cell r="CE188">
            <v>0</v>
          </cell>
          <cell r="CS188">
            <v>0</v>
          </cell>
          <cell r="DP188">
            <v>0</v>
          </cell>
          <cell r="DQ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</row>
        <row r="189">
          <cell r="AT189">
            <v>0</v>
          </cell>
          <cell r="AU189">
            <v>0</v>
          </cell>
          <cell r="BC189">
            <v>0</v>
          </cell>
          <cell r="CD189">
            <v>0</v>
          </cell>
          <cell r="CE189">
            <v>0</v>
          </cell>
          <cell r="CS189">
            <v>0</v>
          </cell>
          <cell r="DP189">
            <v>0</v>
          </cell>
          <cell r="DQ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</row>
        <row r="190">
          <cell r="AT190">
            <v>25</v>
          </cell>
          <cell r="AU190">
            <v>0</v>
          </cell>
          <cell r="BC190">
            <v>2.41</v>
          </cell>
          <cell r="CD190">
            <v>0</v>
          </cell>
          <cell r="CE190">
            <v>0</v>
          </cell>
          <cell r="CS190">
            <v>0</v>
          </cell>
          <cell r="DP190">
            <v>0</v>
          </cell>
          <cell r="DQ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</row>
        <row r="191">
          <cell r="AT191">
            <v>0</v>
          </cell>
          <cell r="AU191">
            <v>0</v>
          </cell>
          <cell r="BC191">
            <v>0</v>
          </cell>
          <cell r="CD191">
            <v>0</v>
          </cell>
          <cell r="CE191">
            <v>0</v>
          </cell>
          <cell r="CS191">
            <v>0</v>
          </cell>
          <cell r="DP191">
            <v>0</v>
          </cell>
          <cell r="DQ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</row>
        <row r="192">
          <cell r="AT192">
            <v>0</v>
          </cell>
          <cell r="AU192">
            <v>0</v>
          </cell>
          <cell r="BC192">
            <v>0</v>
          </cell>
          <cell r="CD192">
            <v>0</v>
          </cell>
          <cell r="CE192">
            <v>0</v>
          </cell>
          <cell r="CS192">
            <v>0</v>
          </cell>
          <cell r="DP192">
            <v>0</v>
          </cell>
          <cell r="DQ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</row>
        <row r="193">
          <cell r="AT193">
            <v>25</v>
          </cell>
          <cell r="AU193">
            <v>0</v>
          </cell>
          <cell r="BC193">
            <v>3</v>
          </cell>
          <cell r="CD193">
            <v>0</v>
          </cell>
          <cell r="CE193">
            <v>0</v>
          </cell>
          <cell r="CS193">
            <v>0</v>
          </cell>
          <cell r="DP193">
            <v>0</v>
          </cell>
          <cell r="DQ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</row>
        <row r="194">
          <cell r="AT194">
            <v>0</v>
          </cell>
          <cell r="AU194">
            <v>0</v>
          </cell>
          <cell r="BC194">
            <v>0</v>
          </cell>
          <cell r="CD194">
            <v>0</v>
          </cell>
          <cell r="CE194">
            <v>0</v>
          </cell>
          <cell r="CS194">
            <v>0</v>
          </cell>
          <cell r="DP194">
            <v>0</v>
          </cell>
          <cell r="DQ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</row>
        <row r="195">
          <cell r="AT195">
            <v>0</v>
          </cell>
          <cell r="AU195">
            <v>0</v>
          </cell>
          <cell r="BC195">
            <v>0</v>
          </cell>
          <cell r="CD195">
            <v>0</v>
          </cell>
          <cell r="CE195">
            <v>0</v>
          </cell>
          <cell r="CS195">
            <v>0</v>
          </cell>
          <cell r="DP195">
            <v>0</v>
          </cell>
          <cell r="DQ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</row>
        <row r="196">
          <cell r="AT196">
            <v>50</v>
          </cell>
          <cell r="AU196">
            <v>0</v>
          </cell>
          <cell r="BC196">
            <v>2.41</v>
          </cell>
          <cell r="CD196">
            <v>0</v>
          </cell>
          <cell r="CE196">
            <v>0</v>
          </cell>
          <cell r="CS196">
            <v>0</v>
          </cell>
          <cell r="DP196">
            <v>0</v>
          </cell>
          <cell r="DQ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</row>
        <row r="197">
          <cell r="AT197">
            <v>0</v>
          </cell>
          <cell r="AU197">
            <v>0</v>
          </cell>
          <cell r="BC197">
            <v>0</v>
          </cell>
          <cell r="CD197">
            <v>0</v>
          </cell>
          <cell r="CE197">
            <v>0</v>
          </cell>
          <cell r="CS197">
            <v>0</v>
          </cell>
          <cell r="DP197">
            <v>0</v>
          </cell>
          <cell r="DQ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</row>
        <row r="198">
          <cell r="AT198">
            <v>0</v>
          </cell>
          <cell r="AU198">
            <v>0</v>
          </cell>
          <cell r="BC198">
            <v>0</v>
          </cell>
          <cell r="CD198">
            <v>0</v>
          </cell>
          <cell r="CE198">
            <v>0</v>
          </cell>
          <cell r="CS198">
            <v>0</v>
          </cell>
          <cell r="DP198">
            <v>0</v>
          </cell>
          <cell r="DQ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  <cell r="CD199">
            <v>0</v>
          </cell>
          <cell r="CE199">
            <v>0</v>
          </cell>
          <cell r="CS199">
            <v>0</v>
          </cell>
          <cell r="DP199">
            <v>0</v>
          </cell>
          <cell r="DQ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</row>
        <row r="200">
          <cell r="AT200">
            <v>0</v>
          </cell>
          <cell r="AU200">
            <v>0</v>
          </cell>
          <cell r="BC200">
            <v>0</v>
          </cell>
          <cell r="CD200">
            <v>0</v>
          </cell>
          <cell r="CE200">
            <v>0</v>
          </cell>
          <cell r="CS200">
            <v>0</v>
          </cell>
          <cell r="DP200">
            <v>0</v>
          </cell>
          <cell r="DQ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</row>
        <row r="201">
          <cell r="AT201">
            <v>0</v>
          </cell>
          <cell r="AU201">
            <v>0</v>
          </cell>
          <cell r="BC201">
            <v>0</v>
          </cell>
          <cell r="CD201">
            <v>0</v>
          </cell>
          <cell r="CE201">
            <v>0</v>
          </cell>
          <cell r="CS201">
            <v>0</v>
          </cell>
          <cell r="DP201">
            <v>0</v>
          </cell>
          <cell r="DQ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</row>
        <row r="202">
          <cell r="AT202">
            <v>25</v>
          </cell>
          <cell r="AU202">
            <v>0</v>
          </cell>
          <cell r="BC202">
            <v>2.41</v>
          </cell>
          <cell r="CD202">
            <v>0</v>
          </cell>
          <cell r="CE202">
            <v>0</v>
          </cell>
          <cell r="CS202">
            <v>0</v>
          </cell>
          <cell r="DP202">
            <v>0</v>
          </cell>
          <cell r="DQ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</row>
        <row r="203">
          <cell r="AT203">
            <v>0</v>
          </cell>
          <cell r="AU203">
            <v>0</v>
          </cell>
          <cell r="BC203">
            <v>0</v>
          </cell>
          <cell r="CD203">
            <v>0</v>
          </cell>
          <cell r="CE203">
            <v>0</v>
          </cell>
          <cell r="CS203">
            <v>0</v>
          </cell>
          <cell r="DP203">
            <v>0</v>
          </cell>
          <cell r="DQ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</row>
        <row r="204">
          <cell r="AT204">
            <v>0</v>
          </cell>
          <cell r="AU204">
            <v>0</v>
          </cell>
          <cell r="BC204">
            <v>0</v>
          </cell>
          <cell r="CD204">
            <v>0</v>
          </cell>
          <cell r="CE204">
            <v>0</v>
          </cell>
          <cell r="CS204">
            <v>0</v>
          </cell>
          <cell r="DP204">
            <v>0</v>
          </cell>
          <cell r="DQ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</row>
        <row r="205">
          <cell r="AT205">
            <v>25</v>
          </cell>
          <cell r="AU205">
            <v>0</v>
          </cell>
          <cell r="BC205">
            <v>2.41</v>
          </cell>
          <cell r="CD205">
            <v>0</v>
          </cell>
          <cell r="CE205">
            <v>0</v>
          </cell>
          <cell r="CS205">
            <v>0</v>
          </cell>
          <cell r="DP205">
            <v>0</v>
          </cell>
          <cell r="DQ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</row>
        <row r="206">
          <cell r="AT206">
            <v>0</v>
          </cell>
          <cell r="AU206">
            <v>0</v>
          </cell>
          <cell r="BC206">
            <v>0</v>
          </cell>
          <cell r="CD206">
            <v>0</v>
          </cell>
          <cell r="CE206">
            <v>0</v>
          </cell>
          <cell r="CS206">
            <v>0</v>
          </cell>
          <cell r="DP206">
            <v>0</v>
          </cell>
          <cell r="DQ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</row>
        <row r="207">
          <cell r="AT207">
            <v>0</v>
          </cell>
          <cell r="AU207">
            <v>0</v>
          </cell>
          <cell r="BC207">
            <v>0</v>
          </cell>
          <cell r="CD207">
            <v>0</v>
          </cell>
          <cell r="CE207">
            <v>0</v>
          </cell>
          <cell r="CS207">
            <v>0</v>
          </cell>
          <cell r="DP207">
            <v>0</v>
          </cell>
          <cell r="DQ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</row>
        <row r="208">
          <cell r="AT208">
            <v>25</v>
          </cell>
          <cell r="AU208">
            <v>0</v>
          </cell>
          <cell r="BC208">
            <v>5.88</v>
          </cell>
          <cell r="CD208">
            <v>0</v>
          </cell>
          <cell r="CE208">
            <v>0</v>
          </cell>
          <cell r="CS208">
            <v>0</v>
          </cell>
          <cell r="DP208">
            <v>0</v>
          </cell>
          <cell r="DQ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</row>
        <row r="209">
          <cell r="AT209">
            <v>0</v>
          </cell>
          <cell r="AU209">
            <v>0</v>
          </cell>
          <cell r="BC209">
            <v>0</v>
          </cell>
          <cell r="CD209">
            <v>0</v>
          </cell>
          <cell r="CE209">
            <v>0</v>
          </cell>
          <cell r="CS209">
            <v>0</v>
          </cell>
          <cell r="DP209">
            <v>0</v>
          </cell>
          <cell r="DQ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</row>
        <row r="210">
          <cell r="AT210">
            <v>0</v>
          </cell>
          <cell r="AU210">
            <v>0</v>
          </cell>
          <cell r="BC210">
            <v>0</v>
          </cell>
          <cell r="CD210">
            <v>0</v>
          </cell>
          <cell r="CE210">
            <v>0</v>
          </cell>
          <cell r="CS210">
            <v>0</v>
          </cell>
          <cell r="DP210">
            <v>0</v>
          </cell>
          <cell r="DQ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</row>
        <row r="211">
          <cell r="AT211">
            <v>25</v>
          </cell>
          <cell r="AU211">
            <v>0</v>
          </cell>
          <cell r="BC211">
            <v>50.28</v>
          </cell>
          <cell r="CD211">
            <v>0</v>
          </cell>
          <cell r="CE211">
            <v>0</v>
          </cell>
          <cell r="CS211">
            <v>0</v>
          </cell>
          <cell r="DP211">
            <v>0</v>
          </cell>
          <cell r="DQ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</row>
        <row r="212">
          <cell r="AT212">
            <v>0</v>
          </cell>
          <cell r="AU212">
            <v>0</v>
          </cell>
          <cell r="BC212">
            <v>0</v>
          </cell>
          <cell r="CD212">
            <v>0</v>
          </cell>
          <cell r="CE212">
            <v>0</v>
          </cell>
          <cell r="CS212">
            <v>0</v>
          </cell>
          <cell r="DP212">
            <v>0</v>
          </cell>
          <cell r="DQ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</row>
        <row r="213">
          <cell r="AT213">
            <v>0</v>
          </cell>
          <cell r="AU213">
            <v>0</v>
          </cell>
          <cell r="BC213">
            <v>0</v>
          </cell>
          <cell r="CD213">
            <v>0</v>
          </cell>
          <cell r="CE213">
            <v>0</v>
          </cell>
          <cell r="CS213">
            <v>0</v>
          </cell>
          <cell r="DP213">
            <v>0</v>
          </cell>
          <cell r="DQ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</row>
        <row r="214">
          <cell r="AT214">
            <v>25</v>
          </cell>
          <cell r="AU214">
            <v>0</v>
          </cell>
          <cell r="BC214">
            <v>2.41</v>
          </cell>
          <cell r="CD214">
            <v>0</v>
          </cell>
          <cell r="CE214">
            <v>0</v>
          </cell>
          <cell r="CS214">
            <v>0</v>
          </cell>
          <cell r="DP214">
            <v>0</v>
          </cell>
          <cell r="DQ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</row>
        <row r="215">
          <cell r="AT215">
            <v>0</v>
          </cell>
          <cell r="AU215">
            <v>0</v>
          </cell>
          <cell r="BC215">
            <v>0</v>
          </cell>
          <cell r="CD215">
            <v>0</v>
          </cell>
          <cell r="CE215">
            <v>0</v>
          </cell>
          <cell r="CS215">
            <v>0</v>
          </cell>
          <cell r="DP215">
            <v>0</v>
          </cell>
          <cell r="DQ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</row>
        <row r="216">
          <cell r="AT216">
            <v>0</v>
          </cell>
          <cell r="AU216">
            <v>0</v>
          </cell>
          <cell r="BC216">
            <v>0</v>
          </cell>
          <cell r="CD216">
            <v>0</v>
          </cell>
          <cell r="CE216">
            <v>0</v>
          </cell>
          <cell r="CS216">
            <v>0</v>
          </cell>
          <cell r="DP216">
            <v>0</v>
          </cell>
          <cell r="DQ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</row>
        <row r="217">
          <cell r="AT217">
            <v>25</v>
          </cell>
          <cell r="AU217">
            <v>0</v>
          </cell>
          <cell r="BC217">
            <v>2.41</v>
          </cell>
          <cell r="CD217">
            <v>0</v>
          </cell>
          <cell r="CE217">
            <v>0</v>
          </cell>
          <cell r="CS217">
            <v>0</v>
          </cell>
          <cell r="DP217">
            <v>0</v>
          </cell>
          <cell r="DQ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</row>
        <row r="218">
          <cell r="AT218">
            <v>0</v>
          </cell>
          <cell r="AU218">
            <v>0</v>
          </cell>
          <cell r="BC218">
            <v>0</v>
          </cell>
          <cell r="CD218">
            <v>0</v>
          </cell>
          <cell r="CE218">
            <v>0</v>
          </cell>
          <cell r="CS218">
            <v>0</v>
          </cell>
          <cell r="DP218">
            <v>0</v>
          </cell>
          <cell r="DQ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</row>
        <row r="219">
          <cell r="AT219">
            <v>0</v>
          </cell>
          <cell r="AU219">
            <v>0</v>
          </cell>
          <cell r="BC219">
            <v>0</v>
          </cell>
          <cell r="CD219">
            <v>0</v>
          </cell>
          <cell r="CE219">
            <v>0</v>
          </cell>
          <cell r="CS219">
            <v>0</v>
          </cell>
          <cell r="DP219">
            <v>0</v>
          </cell>
          <cell r="DQ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</row>
        <row r="220">
          <cell r="AT220">
            <v>12.5</v>
          </cell>
          <cell r="AU220">
            <v>0</v>
          </cell>
          <cell r="BC220">
            <v>3.07</v>
          </cell>
          <cell r="CD220">
            <v>0</v>
          </cell>
          <cell r="CE220">
            <v>0</v>
          </cell>
          <cell r="CS220">
            <v>0</v>
          </cell>
          <cell r="DP220">
            <v>0</v>
          </cell>
          <cell r="DQ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</row>
        <row r="221">
          <cell r="AT221">
            <v>0</v>
          </cell>
          <cell r="AU221">
            <v>0</v>
          </cell>
          <cell r="BC221">
            <v>0</v>
          </cell>
          <cell r="CD221">
            <v>0</v>
          </cell>
          <cell r="CE221">
            <v>0</v>
          </cell>
          <cell r="CS221">
            <v>0</v>
          </cell>
          <cell r="DP221">
            <v>0</v>
          </cell>
          <cell r="DQ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</row>
        <row r="222">
          <cell r="AT222">
            <v>0</v>
          </cell>
          <cell r="AU222">
            <v>0</v>
          </cell>
          <cell r="BC222">
            <v>0</v>
          </cell>
          <cell r="CD222">
            <v>0</v>
          </cell>
          <cell r="CE222">
            <v>0</v>
          </cell>
          <cell r="CS222">
            <v>0</v>
          </cell>
          <cell r="DP222">
            <v>0</v>
          </cell>
          <cell r="DQ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  <cell r="CD223">
            <v>0</v>
          </cell>
          <cell r="CE223">
            <v>0</v>
          </cell>
          <cell r="CS223">
            <v>0</v>
          </cell>
          <cell r="DP223">
            <v>0</v>
          </cell>
          <cell r="DQ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</row>
        <row r="224">
          <cell r="AT224">
            <v>0</v>
          </cell>
          <cell r="AU224">
            <v>0</v>
          </cell>
          <cell r="BC224">
            <v>0</v>
          </cell>
          <cell r="CD224">
            <v>0</v>
          </cell>
          <cell r="CE224">
            <v>0</v>
          </cell>
          <cell r="CS224">
            <v>0</v>
          </cell>
          <cell r="DP224">
            <v>0</v>
          </cell>
          <cell r="DQ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</row>
        <row r="225">
          <cell r="AT225">
            <v>0</v>
          </cell>
          <cell r="AU225">
            <v>0</v>
          </cell>
          <cell r="BC225">
            <v>0</v>
          </cell>
          <cell r="CD225">
            <v>0</v>
          </cell>
          <cell r="CE225">
            <v>0</v>
          </cell>
          <cell r="CS225">
            <v>0</v>
          </cell>
          <cell r="DP225">
            <v>0</v>
          </cell>
          <cell r="DQ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</row>
        <row r="226">
          <cell r="AT226">
            <v>12.5</v>
          </cell>
          <cell r="AU226">
            <v>0</v>
          </cell>
          <cell r="BC226">
            <v>5.88</v>
          </cell>
          <cell r="CD226">
            <v>0</v>
          </cell>
          <cell r="CE226">
            <v>0</v>
          </cell>
          <cell r="CS226">
            <v>0</v>
          </cell>
          <cell r="DP226">
            <v>0</v>
          </cell>
          <cell r="DQ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</row>
        <row r="227">
          <cell r="AT227">
            <v>0</v>
          </cell>
          <cell r="AU227">
            <v>0</v>
          </cell>
          <cell r="BC227">
            <v>0</v>
          </cell>
          <cell r="CD227">
            <v>0</v>
          </cell>
          <cell r="CE227">
            <v>0</v>
          </cell>
          <cell r="CS227">
            <v>0</v>
          </cell>
          <cell r="DP227">
            <v>0</v>
          </cell>
          <cell r="DQ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</row>
        <row r="228">
          <cell r="AT228">
            <v>0</v>
          </cell>
          <cell r="AU228">
            <v>0</v>
          </cell>
          <cell r="BC228">
            <v>0</v>
          </cell>
          <cell r="CD228">
            <v>0</v>
          </cell>
          <cell r="CE228">
            <v>0</v>
          </cell>
          <cell r="CS228">
            <v>0</v>
          </cell>
          <cell r="DP228">
            <v>0</v>
          </cell>
          <cell r="DQ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</row>
        <row r="229">
          <cell r="AT229">
            <v>12.5</v>
          </cell>
          <cell r="AU229">
            <v>0</v>
          </cell>
          <cell r="BC229">
            <v>45</v>
          </cell>
          <cell r="CD229">
            <v>0</v>
          </cell>
          <cell r="CE229">
            <v>0</v>
          </cell>
          <cell r="CS229">
            <v>0</v>
          </cell>
          <cell r="DP229">
            <v>0</v>
          </cell>
          <cell r="DQ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</row>
        <row r="230">
          <cell r="AT230">
            <v>0</v>
          </cell>
          <cell r="AU230">
            <v>0</v>
          </cell>
          <cell r="BC230">
            <v>0</v>
          </cell>
          <cell r="CD230">
            <v>0</v>
          </cell>
          <cell r="CE230">
            <v>0</v>
          </cell>
          <cell r="CS230">
            <v>0</v>
          </cell>
          <cell r="DP230">
            <v>0</v>
          </cell>
          <cell r="DQ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</row>
        <row r="231">
          <cell r="AT231">
            <v>0</v>
          </cell>
          <cell r="AU231">
            <v>0</v>
          </cell>
          <cell r="BC231">
            <v>0</v>
          </cell>
          <cell r="CD231">
            <v>0</v>
          </cell>
          <cell r="CE231">
            <v>0</v>
          </cell>
          <cell r="CS231">
            <v>0</v>
          </cell>
          <cell r="DP231">
            <v>0</v>
          </cell>
          <cell r="DQ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</row>
        <row r="232">
          <cell r="AT232">
            <v>25</v>
          </cell>
          <cell r="AU232">
            <v>0</v>
          </cell>
          <cell r="BC232">
            <v>100</v>
          </cell>
          <cell r="CD232">
            <v>0</v>
          </cell>
          <cell r="CE232">
            <v>0</v>
          </cell>
          <cell r="CS232">
            <v>0</v>
          </cell>
          <cell r="DP232">
            <v>0</v>
          </cell>
          <cell r="DQ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</row>
        <row r="233">
          <cell r="AT233">
            <v>0</v>
          </cell>
          <cell r="AU233">
            <v>0</v>
          </cell>
          <cell r="BC233">
            <v>0</v>
          </cell>
          <cell r="CD233">
            <v>0</v>
          </cell>
          <cell r="CE233">
            <v>0</v>
          </cell>
          <cell r="CS233">
            <v>0</v>
          </cell>
          <cell r="DP233">
            <v>0</v>
          </cell>
          <cell r="DQ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</row>
        <row r="234">
          <cell r="AT234">
            <v>0</v>
          </cell>
          <cell r="AU234">
            <v>0</v>
          </cell>
          <cell r="BC234">
            <v>0</v>
          </cell>
          <cell r="CD234">
            <v>0</v>
          </cell>
          <cell r="CE234">
            <v>0</v>
          </cell>
          <cell r="CS234">
            <v>0</v>
          </cell>
          <cell r="DP234">
            <v>0</v>
          </cell>
          <cell r="DQ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</row>
        <row r="235">
          <cell r="AT235">
            <v>0</v>
          </cell>
          <cell r="AU235">
            <v>0</v>
          </cell>
          <cell r="BC235">
            <v>0</v>
          </cell>
          <cell r="CD235">
            <v>0</v>
          </cell>
          <cell r="CE235">
            <v>0</v>
          </cell>
          <cell r="CS235">
            <v>0</v>
          </cell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V235">
            <v>0</v>
          </cell>
          <cell r="FW235">
            <v>172.3</v>
          </cell>
          <cell r="FX235">
            <v>1.7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1.37</v>
          </cell>
        </row>
        <row r="236">
          <cell r="AT236">
            <v>0</v>
          </cell>
          <cell r="AU236">
            <v>0</v>
          </cell>
          <cell r="BC236">
            <v>0</v>
          </cell>
          <cell r="CD236">
            <v>0</v>
          </cell>
          <cell r="CE236">
            <v>0</v>
          </cell>
          <cell r="CS236">
            <v>0</v>
          </cell>
          <cell r="DP236">
            <v>0</v>
          </cell>
          <cell r="DQ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</row>
        <row r="237">
          <cell r="AT237">
            <v>0</v>
          </cell>
          <cell r="AU237">
            <v>0</v>
          </cell>
          <cell r="BC237">
            <v>0</v>
          </cell>
          <cell r="CD237">
            <v>0</v>
          </cell>
          <cell r="CE237">
            <v>0</v>
          </cell>
          <cell r="CS237">
            <v>0</v>
          </cell>
          <cell r="DP237">
            <v>0</v>
          </cell>
          <cell r="DQ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</row>
        <row r="238">
          <cell r="AT238">
            <v>0</v>
          </cell>
          <cell r="AU238">
            <v>0</v>
          </cell>
          <cell r="BC238">
            <v>0</v>
          </cell>
          <cell r="CD238">
            <v>0</v>
          </cell>
          <cell r="CE238">
            <v>0</v>
          </cell>
          <cell r="CS238">
            <v>0</v>
          </cell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1.5669999999999999</v>
          </cell>
          <cell r="FT238">
            <v>1.5669999999999999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4.5</v>
          </cell>
        </row>
        <row r="239">
          <cell r="AT239">
            <v>0</v>
          </cell>
          <cell r="AU239">
            <v>0</v>
          </cell>
          <cell r="BC239">
            <v>0</v>
          </cell>
          <cell r="CD239">
            <v>0</v>
          </cell>
          <cell r="CE239">
            <v>0</v>
          </cell>
          <cell r="CS239">
            <v>0</v>
          </cell>
          <cell r="DP239">
            <v>0</v>
          </cell>
          <cell r="DQ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</row>
        <row r="240">
          <cell r="AT240">
            <v>0</v>
          </cell>
          <cell r="AU240">
            <v>0</v>
          </cell>
          <cell r="BC240">
            <v>0</v>
          </cell>
          <cell r="CD240">
            <v>0</v>
          </cell>
          <cell r="CE240">
            <v>0</v>
          </cell>
          <cell r="CS240">
            <v>0</v>
          </cell>
          <cell r="DP240">
            <v>0</v>
          </cell>
          <cell r="DQ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</row>
        <row r="241">
          <cell r="AT241">
            <v>0</v>
          </cell>
          <cell r="AU241">
            <v>0</v>
          </cell>
          <cell r="BC241">
            <v>0</v>
          </cell>
          <cell r="CD241">
            <v>0</v>
          </cell>
          <cell r="CE241">
            <v>0</v>
          </cell>
          <cell r="CS241">
            <v>0</v>
          </cell>
          <cell r="DP241">
            <v>0</v>
          </cell>
          <cell r="DQ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</row>
        <row r="242">
          <cell r="AT242">
            <v>0</v>
          </cell>
          <cell r="AU242">
            <v>0</v>
          </cell>
          <cell r="BC242">
            <v>0</v>
          </cell>
          <cell r="CD242">
            <v>0</v>
          </cell>
          <cell r="CE242">
            <v>0</v>
          </cell>
          <cell r="CS242">
            <v>0</v>
          </cell>
          <cell r="DP242">
            <v>0</v>
          </cell>
          <cell r="DQ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</row>
      </sheetData>
      <sheetData sheetId="6"/>
      <sheetData sheetId="7"/>
      <sheetData sheetId="8"/>
      <sheetData sheetId="9"/>
      <sheetData sheetId="10"/>
      <sheetData sheetId="11">
        <row r="100">
          <cell r="J100">
            <v>26486.456999999999</v>
          </cell>
          <cell r="K100">
            <v>31272.7</v>
          </cell>
          <cell r="L100">
            <v>26626.456999999999</v>
          </cell>
          <cell r="M100">
            <v>26457.11</v>
          </cell>
          <cell r="N100">
            <v>0</v>
          </cell>
          <cell r="O100">
            <v>26757.11</v>
          </cell>
          <cell r="P100">
            <v>0</v>
          </cell>
          <cell r="Q100">
            <v>26757.11</v>
          </cell>
          <cell r="R100">
            <v>0</v>
          </cell>
          <cell r="S100">
            <v>26757.11</v>
          </cell>
          <cell r="T100">
            <v>0</v>
          </cell>
          <cell r="U100">
            <v>26757.11</v>
          </cell>
          <cell r="V100">
            <v>0</v>
          </cell>
        </row>
      </sheetData>
      <sheetData sheetId="12"/>
      <sheetData sheetId="13">
        <row r="221">
          <cell r="J221">
            <v>5336.4288000000006</v>
          </cell>
          <cell r="K221">
            <v>6293.357822128597</v>
          </cell>
          <cell r="N221">
            <v>0</v>
          </cell>
          <cell r="P221">
            <v>0</v>
          </cell>
          <cell r="R221">
            <v>0</v>
          </cell>
          <cell r="S221">
            <v>7491.4296869624413</v>
          </cell>
          <cell r="T221">
            <v>0</v>
          </cell>
          <cell r="U221">
            <v>7791.0868744409381</v>
          </cell>
          <cell r="V221">
            <v>0</v>
          </cell>
        </row>
        <row r="227">
          <cell r="P227">
            <v>0</v>
          </cell>
          <cell r="R227">
            <v>0</v>
          </cell>
          <cell r="T227">
            <v>0</v>
          </cell>
          <cell r="V227">
            <v>0</v>
          </cell>
        </row>
        <row r="242">
          <cell r="E242">
            <v>4041.9</v>
          </cell>
          <cell r="F242">
            <v>4190.6795999999995</v>
          </cell>
          <cell r="G242">
            <v>4147.6831199999997</v>
          </cell>
          <cell r="H242">
            <v>4714.8749414799995</v>
          </cell>
          <cell r="J242">
            <v>2480.8743839999997</v>
          </cell>
          <cell r="K242">
            <v>4384.1767447615739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V242">
            <v>0</v>
          </cell>
        </row>
        <row r="244">
          <cell r="E244">
            <v>1220.6538</v>
          </cell>
          <cell r="F244">
            <v>1265.5852391999997</v>
          </cell>
          <cell r="G244">
            <v>1252.6003022399998</v>
          </cell>
          <cell r="H244">
            <v>1423.8922323269599</v>
          </cell>
          <cell r="J244">
            <v>749.22406396799988</v>
          </cell>
          <cell r="K244">
            <v>1324.0213769179952</v>
          </cell>
          <cell r="N244">
            <v>0</v>
          </cell>
        </row>
      </sheetData>
      <sheetData sheetId="14"/>
      <sheetData sheetId="15"/>
      <sheetData sheetId="16"/>
      <sheetData sheetId="17">
        <row r="7">
          <cell r="I7">
            <v>104</v>
          </cell>
          <cell r="J7">
            <v>104</v>
          </cell>
          <cell r="K7">
            <v>104</v>
          </cell>
        </row>
      </sheetData>
      <sheetData sheetId="18"/>
      <sheetData sheetId="19">
        <row r="68">
          <cell r="J68">
            <v>69690.145648200007</v>
          </cell>
          <cell r="K68">
            <v>170433.38271115278</v>
          </cell>
          <cell r="L68">
            <v>74682.51944319201</v>
          </cell>
          <cell r="M68">
            <v>79669.357169540002</v>
          </cell>
          <cell r="N68">
            <v>0</v>
          </cell>
          <cell r="O68">
            <v>82856.1314563216</v>
          </cell>
          <cell r="P68">
            <v>0</v>
          </cell>
          <cell r="Q68">
            <v>86170.376714574479</v>
          </cell>
          <cell r="R68">
            <v>0</v>
          </cell>
          <cell r="S68">
            <v>89617.191783157468</v>
          </cell>
          <cell r="T68">
            <v>0</v>
          </cell>
          <cell r="U68">
            <v>93201.879454483773</v>
          </cell>
          <cell r="V68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">
          <cell r="F14">
            <v>6831404.3499999996</v>
          </cell>
        </row>
        <row r="15">
          <cell r="F15">
            <v>11274588.720000001</v>
          </cell>
        </row>
        <row r="16">
          <cell r="F16">
            <v>28620146.640000001</v>
          </cell>
        </row>
        <row r="17">
          <cell r="F17">
            <v>20984910.219999999</v>
          </cell>
        </row>
        <row r="29">
          <cell r="B29">
            <v>6831404.3499999996</v>
          </cell>
        </row>
        <row r="30">
          <cell r="B30">
            <v>11274588.720000001</v>
          </cell>
        </row>
        <row r="31">
          <cell r="B31">
            <v>28620146.640000001</v>
          </cell>
        </row>
        <row r="32">
          <cell r="B32">
            <v>20984910.219999999</v>
          </cell>
        </row>
        <row r="37">
          <cell r="C37">
            <v>0.49</v>
          </cell>
        </row>
        <row r="38">
          <cell r="C38">
            <v>0.34</v>
          </cell>
        </row>
      </sheetData>
      <sheetData sheetId="30">
        <row r="212">
          <cell r="C212">
            <v>30147850.115704071</v>
          </cell>
        </row>
        <row r="214">
          <cell r="C214">
            <v>2382783.38</v>
          </cell>
        </row>
        <row r="216">
          <cell r="C216">
            <v>4393747.13</v>
          </cell>
        </row>
        <row r="217">
          <cell r="C217">
            <v>335913.62</v>
          </cell>
        </row>
        <row r="225">
          <cell r="C225">
            <v>59025022.200000003</v>
          </cell>
        </row>
        <row r="229">
          <cell r="C229">
            <v>486755.19</v>
          </cell>
        </row>
        <row r="230">
          <cell r="C230">
            <v>233082.92</v>
          </cell>
        </row>
      </sheetData>
      <sheetData sheetId="31"/>
      <sheetData sheetId="32">
        <row r="7">
          <cell r="B7">
            <v>114718.96276858894</v>
          </cell>
        </row>
      </sheetData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ВС_2017 (окт)"/>
      <sheetName val="ВО_2017  (окт)"/>
      <sheetName val="НД по водному налогу за 2017"/>
      <sheetName val="Объекты_ВО"/>
      <sheetName val="Объекты ВО"/>
      <sheetName val="Прогнозные индексы"/>
      <sheetName val="Реагенты ВС"/>
      <sheetName val="ОТЧЕТ"/>
      <sheetName val="Лист2 (4)"/>
      <sheetName val="свод"/>
      <sheetName val="охрана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Лист2 (3)"/>
      <sheetName val="Лист2 (2)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>
        <row r="17">
          <cell r="E17" t="str">
            <v>да</v>
          </cell>
        </row>
      </sheetData>
      <sheetData sheetId="1">
        <row r="40">
          <cell r="K40">
            <v>40987.570000000007</v>
          </cell>
          <cell r="L40">
            <v>35674.5</v>
          </cell>
          <cell r="M40">
            <v>36402.402000000002</v>
          </cell>
          <cell r="N40">
            <v>35453.181240904269</v>
          </cell>
          <cell r="P40">
            <v>35807.713053313317</v>
          </cell>
          <cell r="T40">
            <v>36527.448085684911</v>
          </cell>
          <cell r="V40">
            <v>36892.722566541757</v>
          </cell>
        </row>
      </sheetData>
      <sheetData sheetId="2">
        <row r="39">
          <cell r="F39">
            <v>35466.168000000005</v>
          </cell>
        </row>
      </sheetData>
      <sheetData sheetId="3">
        <row r="9">
          <cell r="F9">
            <v>48985.71</v>
          </cell>
          <cell r="K9">
            <v>33368.803999999996</v>
          </cell>
          <cell r="M9">
            <v>33453.070999999996</v>
          </cell>
          <cell r="N9">
            <v>34098.129999999997</v>
          </cell>
          <cell r="O9">
            <v>34814.381988501962</v>
          </cell>
          <cell r="Q9">
            <v>35162.525808386978</v>
          </cell>
          <cell r="W9">
            <v>36227.985502906915</v>
          </cell>
        </row>
      </sheetData>
      <sheetData sheetId="4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5">
          <cell r="G15">
            <v>53901.84</v>
          </cell>
          <cell r="H15">
            <v>45377.025000000001</v>
          </cell>
          <cell r="I15">
            <v>54662.451999999997</v>
          </cell>
          <cell r="K15">
            <v>53901.84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</sheetData>
      <sheetData sheetId="5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GE47" t="str">
            <v>L_TR_DEPRECIATION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U51">
            <v>0</v>
          </cell>
          <cell r="FG51">
            <v>0</v>
          </cell>
          <cell r="FS51">
            <v>1E-3</v>
          </cell>
          <cell r="FW51">
            <v>1E-3</v>
          </cell>
          <cell r="GE51">
            <v>89.724999999999994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U54">
            <v>0</v>
          </cell>
          <cell r="FG54">
            <v>0</v>
          </cell>
          <cell r="FS54">
            <v>1E-3</v>
          </cell>
          <cell r="FW54">
            <v>1E-3</v>
          </cell>
          <cell r="GE54">
            <v>57.72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U58">
            <v>0</v>
          </cell>
          <cell r="FG58">
            <v>0</v>
          </cell>
          <cell r="FS58">
            <v>1E-3</v>
          </cell>
          <cell r="FW58">
            <v>1E-3</v>
          </cell>
          <cell r="GE58">
            <v>58.82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U61">
            <v>0</v>
          </cell>
          <cell r="FG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GE61">
            <v>70.900000000000006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U64">
            <v>0</v>
          </cell>
          <cell r="FG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GE64">
            <v>4.49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U67">
            <v>0</v>
          </cell>
          <cell r="FG67">
            <v>0</v>
          </cell>
          <cell r="FS67">
            <v>1.155</v>
          </cell>
          <cell r="FT67">
            <v>1.155</v>
          </cell>
          <cell r="GE67">
            <v>72.349999999999994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U70">
            <v>0</v>
          </cell>
          <cell r="FG70">
            <v>0</v>
          </cell>
          <cell r="FS70">
            <v>0.63500000000000001</v>
          </cell>
          <cell r="FT70">
            <v>0.63500000000000001</v>
          </cell>
          <cell r="GE70">
            <v>62.3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U73">
            <v>0</v>
          </cell>
          <cell r="FG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GE73">
            <v>100</v>
          </cell>
        </row>
        <row r="76">
          <cell r="AT76">
            <v>3750</v>
          </cell>
          <cell r="AU76">
            <v>1058.32</v>
          </cell>
          <cell r="BC76">
            <v>0.83</v>
          </cell>
        </row>
        <row r="79">
          <cell r="AT79">
            <v>2772</v>
          </cell>
          <cell r="AU79">
            <v>1892.53</v>
          </cell>
          <cell r="BC79">
            <v>63.19</v>
          </cell>
        </row>
        <row r="82">
          <cell r="AT82">
            <v>320</v>
          </cell>
          <cell r="AU82">
            <v>184.68</v>
          </cell>
          <cell r="BC82">
            <v>57.25</v>
          </cell>
        </row>
        <row r="85">
          <cell r="AT85">
            <v>315</v>
          </cell>
          <cell r="AU85">
            <v>310.58</v>
          </cell>
          <cell r="BC85">
            <v>100</v>
          </cell>
        </row>
        <row r="88">
          <cell r="AT88">
            <v>0.1</v>
          </cell>
          <cell r="AU88">
            <v>0</v>
          </cell>
          <cell r="BC88">
            <v>14.9</v>
          </cell>
        </row>
        <row r="91">
          <cell r="AT91">
            <v>1350</v>
          </cell>
          <cell r="AU91">
            <v>0</v>
          </cell>
          <cell r="BC91">
            <v>14.91</v>
          </cell>
        </row>
        <row r="94">
          <cell r="AT94">
            <v>185</v>
          </cell>
          <cell r="AU94">
            <v>0</v>
          </cell>
          <cell r="BC94">
            <v>92.87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</row>
        <row r="100">
          <cell r="AT100">
            <v>64</v>
          </cell>
          <cell r="AU100">
            <v>11.64</v>
          </cell>
          <cell r="BC100">
            <v>100</v>
          </cell>
        </row>
        <row r="103">
          <cell r="AT103">
            <v>732</v>
          </cell>
          <cell r="AU103">
            <v>50.28</v>
          </cell>
          <cell r="BC103">
            <v>93.06</v>
          </cell>
        </row>
        <row r="106">
          <cell r="AT106">
            <v>12.5</v>
          </cell>
          <cell r="AU106">
            <v>0</v>
          </cell>
          <cell r="BC106">
            <v>42.96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</row>
        <row r="112">
          <cell r="AT112">
            <v>50</v>
          </cell>
          <cell r="AU112">
            <v>0</v>
          </cell>
          <cell r="BC112">
            <v>100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</row>
        <row r="121">
          <cell r="AT121">
            <v>50</v>
          </cell>
          <cell r="AU121">
            <v>0</v>
          </cell>
          <cell r="BC121">
            <v>35.99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</row>
        <row r="133">
          <cell r="AT133">
            <v>25</v>
          </cell>
          <cell r="AU133">
            <v>0</v>
          </cell>
          <cell r="BC133">
            <v>100</v>
          </cell>
        </row>
        <row r="136">
          <cell r="AT136">
            <v>50</v>
          </cell>
          <cell r="AU136">
            <v>0</v>
          </cell>
          <cell r="BC136">
            <v>100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</row>
        <row r="151">
          <cell r="AT151">
            <v>1190</v>
          </cell>
          <cell r="AU151">
            <v>727.64</v>
          </cell>
          <cell r="BC151">
            <v>0.44</v>
          </cell>
        </row>
        <row r="154">
          <cell r="AT154">
            <v>12.5</v>
          </cell>
          <cell r="AU154">
            <v>0</v>
          </cell>
          <cell r="BC154">
            <v>100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</row>
        <row r="160">
          <cell r="AT160">
            <v>25</v>
          </cell>
          <cell r="AU160">
            <v>0</v>
          </cell>
          <cell r="BC160">
            <v>2.31</v>
          </cell>
        </row>
        <row r="163">
          <cell r="AT163">
            <v>50</v>
          </cell>
          <cell r="AU163">
            <v>0</v>
          </cell>
          <cell r="BC163">
            <v>0.41</v>
          </cell>
        </row>
        <row r="166">
          <cell r="AT166">
            <v>25</v>
          </cell>
          <cell r="AU166">
            <v>0</v>
          </cell>
          <cell r="BC166">
            <v>2.77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</row>
        <row r="175">
          <cell r="AT175">
            <v>25</v>
          </cell>
          <cell r="AU175">
            <v>0</v>
          </cell>
          <cell r="BC175">
            <v>2.65</v>
          </cell>
        </row>
        <row r="178">
          <cell r="AT178">
            <v>25</v>
          </cell>
          <cell r="AU178">
            <v>0</v>
          </cell>
          <cell r="BC178">
            <v>83.49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</row>
        <row r="184">
          <cell r="AT184">
            <v>12.5</v>
          </cell>
          <cell r="AU184">
            <v>0</v>
          </cell>
          <cell r="BC184">
            <v>2.42</v>
          </cell>
        </row>
        <row r="187">
          <cell r="AT187">
            <v>25</v>
          </cell>
          <cell r="AU187">
            <v>0</v>
          </cell>
          <cell r="BC187">
            <v>3.17</v>
          </cell>
        </row>
        <row r="190">
          <cell r="AT190">
            <v>25</v>
          </cell>
          <cell r="AU190">
            <v>0</v>
          </cell>
          <cell r="BC190">
            <v>2.41</v>
          </cell>
        </row>
        <row r="193">
          <cell r="AT193">
            <v>25</v>
          </cell>
          <cell r="AU193">
            <v>0</v>
          </cell>
          <cell r="BC193">
            <v>3</v>
          </cell>
        </row>
        <row r="196">
          <cell r="AT196">
            <v>50</v>
          </cell>
          <cell r="AU196">
            <v>0</v>
          </cell>
          <cell r="BC196">
            <v>2.41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</row>
        <row r="202">
          <cell r="AT202">
            <v>25</v>
          </cell>
          <cell r="AU202">
            <v>0</v>
          </cell>
          <cell r="BC202">
            <v>2.41</v>
          </cell>
        </row>
        <row r="205">
          <cell r="AT205">
            <v>25</v>
          </cell>
          <cell r="AU205">
            <v>0</v>
          </cell>
          <cell r="BC205">
            <v>2.41</v>
          </cell>
        </row>
        <row r="208">
          <cell r="AT208">
            <v>25</v>
          </cell>
          <cell r="AU208">
            <v>0</v>
          </cell>
          <cell r="BC208">
            <v>5.88</v>
          </cell>
        </row>
        <row r="211">
          <cell r="AT211">
            <v>25</v>
          </cell>
          <cell r="AU211">
            <v>0</v>
          </cell>
          <cell r="BC211">
            <v>50.28</v>
          </cell>
        </row>
        <row r="214">
          <cell r="AT214">
            <v>25</v>
          </cell>
          <cell r="AU214">
            <v>0</v>
          </cell>
          <cell r="BC214">
            <v>2.41</v>
          </cell>
        </row>
        <row r="217">
          <cell r="AT217">
            <v>25</v>
          </cell>
          <cell r="AU217">
            <v>0</v>
          </cell>
          <cell r="BC217">
            <v>2.41</v>
          </cell>
        </row>
        <row r="220">
          <cell r="AT220">
            <v>12.5</v>
          </cell>
          <cell r="AU220">
            <v>0</v>
          </cell>
          <cell r="BC220">
            <v>3.07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</row>
        <row r="226">
          <cell r="AT226">
            <v>12.5</v>
          </cell>
          <cell r="AU226">
            <v>0</v>
          </cell>
          <cell r="BC226">
            <v>5.88</v>
          </cell>
        </row>
        <row r="229">
          <cell r="AT229">
            <v>12.5</v>
          </cell>
          <cell r="AU229">
            <v>0</v>
          </cell>
          <cell r="BC229">
            <v>45</v>
          </cell>
        </row>
        <row r="232">
          <cell r="AT232">
            <v>25</v>
          </cell>
          <cell r="AU232">
            <v>0</v>
          </cell>
          <cell r="BC232">
            <v>100</v>
          </cell>
        </row>
        <row r="235"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U235">
            <v>0</v>
          </cell>
          <cell r="FG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W235">
            <v>172.3</v>
          </cell>
          <cell r="FX235">
            <v>1.7</v>
          </cell>
          <cell r="GE235">
            <v>1.37</v>
          </cell>
        </row>
        <row r="238"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U238">
            <v>0</v>
          </cell>
          <cell r="FG238">
            <v>0</v>
          </cell>
          <cell r="FS238">
            <v>1.5669999999999999</v>
          </cell>
          <cell r="FT238">
            <v>1.5669999999999999</v>
          </cell>
          <cell r="GE238">
            <v>4.5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103.4</v>
          </cell>
          <cell r="I6">
            <v>104</v>
          </cell>
          <cell r="J6">
            <v>104</v>
          </cell>
        </row>
        <row r="9">
          <cell r="G9">
            <v>103</v>
          </cell>
          <cell r="H9">
            <v>103</v>
          </cell>
          <cell r="I9">
            <v>103</v>
          </cell>
          <cell r="J9">
            <v>103</v>
          </cell>
        </row>
      </sheetData>
      <sheetData sheetId="13"/>
      <sheetData sheetId="14">
        <row r="20">
          <cell r="B20">
            <v>167954.99435186441</v>
          </cell>
        </row>
        <row r="37">
          <cell r="B37">
            <v>68374.231254237297</v>
          </cell>
        </row>
      </sheetData>
      <sheetData sheetId="15"/>
      <sheetData sheetId="16"/>
      <sheetData sheetId="17"/>
      <sheetData sheetId="18"/>
      <sheetData sheetId="19">
        <row r="100">
          <cell r="J100">
            <v>26486.456999999999</v>
          </cell>
          <cell r="K100">
            <v>31272.7</v>
          </cell>
          <cell r="L100">
            <v>26626.456999999999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71">
          <cell r="J71">
            <v>21581.260000000002</v>
          </cell>
          <cell r="K71">
            <v>52140.42240000001</v>
          </cell>
        </row>
        <row r="390">
          <cell r="K390">
            <v>191264.72</v>
          </cell>
        </row>
      </sheetData>
      <sheetData sheetId="28">
        <row r="40">
          <cell r="P40">
            <v>4205.9340480836854</v>
          </cell>
          <cell r="T40">
            <v>4602.9122191239885</v>
          </cell>
          <cell r="V40">
            <v>4814.1127509385524</v>
          </cell>
        </row>
      </sheetData>
      <sheetData sheetId="29">
        <row r="22">
          <cell r="O22">
            <v>593293.50251098815</v>
          </cell>
        </row>
      </sheetData>
      <sheetData sheetId="30"/>
      <sheetData sheetId="31"/>
      <sheetData sheetId="32"/>
      <sheetData sheetId="33">
        <row r="39">
          <cell r="P39">
            <v>3344.1194601732736</v>
          </cell>
          <cell r="T39">
            <v>3621.4824946379972</v>
          </cell>
          <cell r="V39">
            <v>3746.1738322410902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C7">
            <v>338833.0917134948</v>
          </cell>
        </row>
      </sheetData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  <sheetName val="сбытовые расходы"/>
      <sheetName val="таблица новая"/>
    </sheetNames>
    <sheetDataSet>
      <sheetData sheetId="0" refreshError="1"/>
      <sheetData sheetId="1" refreshError="1"/>
      <sheetData sheetId="2">
        <row r="9">
          <cell r="P9">
            <v>8687564.7300000004</v>
          </cell>
          <cell r="Q9">
            <v>8687564.7300000004</v>
          </cell>
          <cell r="R9">
            <v>8088323.0241</v>
          </cell>
          <cell r="S9">
            <v>8088323.0241</v>
          </cell>
          <cell r="T9">
            <v>8088323.0241</v>
          </cell>
          <cell r="U9">
            <v>8088323.0241</v>
          </cell>
          <cell r="V9">
            <v>8088323.0241</v>
          </cell>
        </row>
        <row r="14">
          <cell r="P14">
            <v>8310725.1835027477</v>
          </cell>
          <cell r="R14">
            <v>7753932.2270927001</v>
          </cell>
          <cell r="S14">
            <v>7753932.2270927001</v>
          </cell>
          <cell r="T14">
            <v>7753932.2270927001</v>
          </cell>
          <cell r="U14">
            <v>7753932.2270927001</v>
          </cell>
          <cell r="V14">
            <v>7753932.2270927001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5"/>
  <sheetViews>
    <sheetView zoomScale="90" zoomScaleNormal="90" workbookViewId="0">
      <selection activeCell="V17" sqref="V17"/>
    </sheetView>
  </sheetViews>
  <sheetFormatPr defaultColWidth="9.140625" defaultRowHeight="15"/>
  <cols>
    <col min="1" max="1" width="6.140625" style="1209" customWidth="1"/>
    <col min="2" max="2" width="19.28515625" style="1209" customWidth="1"/>
    <col min="3" max="3" width="75.7109375" style="1209" customWidth="1"/>
    <col min="4" max="4" width="20.7109375" style="1209" customWidth="1"/>
    <col min="5" max="5" width="18.28515625" style="1209" customWidth="1"/>
    <col min="6" max="6" width="19.42578125" style="1209" customWidth="1"/>
    <col min="7" max="8" width="18.5703125" style="1209" customWidth="1"/>
    <col min="9" max="9" width="15.28515625" style="1209" customWidth="1"/>
    <col min="10" max="10" width="14.5703125" style="1209" customWidth="1"/>
    <col min="11" max="11" width="0" style="1209" hidden="1" customWidth="1"/>
    <col min="12" max="12" width="13.28515625" style="1209" hidden="1" customWidth="1"/>
    <col min="13" max="13" width="16.28515625" style="1209" hidden="1" customWidth="1"/>
    <col min="14" max="16" width="0" style="1209" hidden="1" customWidth="1"/>
    <col min="17" max="17" width="16.140625" style="1209" customWidth="1"/>
    <col min="18" max="16384" width="9.140625" style="1209"/>
  </cols>
  <sheetData>
    <row r="1" spans="1:17">
      <c r="F1" s="1559" t="s">
        <v>1502</v>
      </c>
      <c r="G1" s="1559"/>
      <c r="H1" s="1325"/>
    </row>
    <row r="3" spans="1:17" ht="18.75">
      <c r="B3" s="1210" t="s">
        <v>1482</v>
      </c>
      <c r="C3" s="1210"/>
      <c r="D3" s="1210"/>
      <c r="E3" s="1210"/>
      <c r="F3" s="1210"/>
      <c r="G3" s="1210"/>
      <c r="H3" s="1210"/>
    </row>
    <row r="5" spans="1:17" ht="16.5" thickBot="1">
      <c r="B5" s="1211" t="s">
        <v>592</v>
      </c>
    </row>
    <row r="6" spans="1:17" ht="25.5" customHeight="1">
      <c r="A6" s="1213" t="s">
        <v>1503</v>
      </c>
      <c r="B6" s="1560" t="s">
        <v>1483</v>
      </c>
      <c r="C6" s="1561"/>
      <c r="D6" s="1562">
        <v>2020</v>
      </c>
      <c r="E6" s="1563"/>
      <c r="F6" s="1562">
        <v>2021</v>
      </c>
      <c r="G6" s="1564"/>
      <c r="H6" s="1212">
        <v>2021</v>
      </c>
      <c r="I6" s="1213">
        <v>2022</v>
      </c>
      <c r="J6" s="1214">
        <v>2023</v>
      </c>
      <c r="Q6" s="1215" t="s">
        <v>1484</v>
      </c>
    </row>
    <row r="7" spans="1:17" ht="45" customHeight="1" thickBot="1">
      <c r="A7" s="1326"/>
      <c r="B7" s="1216"/>
      <c r="C7" s="1217" t="s">
        <v>1485</v>
      </c>
      <c r="D7" s="1218" t="s">
        <v>1486</v>
      </c>
      <c r="E7" s="1219" t="s">
        <v>1487</v>
      </c>
      <c r="F7" s="1218" t="s">
        <v>1486</v>
      </c>
      <c r="G7" s="1220" t="s">
        <v>1487</v>
      </c>
      <c r="H7" s="1565" t="s">
        <v>1488</v>
      </c>
      <c r="I7" s="1566"/>
      <c r="J7" s="1567"/>
      <c r="Q7" s="1221"/>
    </row>
    <row r="8" spans="1:17" ht="25.5" customHeight="1">
      <c r="A8" s="1568">
        <v>1</v>
      </c>
      <c r="B8" s="1570" t="s">
        <v>1489</v>
      </c>
      <c r="C8" s="1222" t="s">
        <v>1490</v>
      </c>
      <c r="D8" s="1223">
        <v>36505.730000000003</v>
      </c>
      <c r="E8" s="1224">
        <v>46592.61</v>
      </c>
      <c r="F8" s="1223">
        <f>F9</f>
        <v>51828.480000000003</v>
      </c>
      <c r="G8" s="1225">
        <f>G9</f>
        <v>37693.86</v>
      </c>
      <c r="H8" s="1226"/>
      <c r="I8" s="1227"/>
      <c r="J8" s="1228"/>
      <c r="Q8" s="1228"/>
    </row>
    <row r="9" spans="1:17" ht="24" customHeight="1" thickBot="1">
      <c r="A9" s="1569"/>
      <c r="B9" s="1571"/>
      <c r="C9" s="1229" t="s">
        <v>1491</v>
      </c>
      <c r="D9" s="1230">
        <v>36505.730000000003</v>
      </c>
      <c r="E9" s="1231">
        <v>46592.61</v>
      </c>
      <c r="F9" s="1230">
        <f>51828.48</f>
        <v>51828.480000000003</v>
      </c>
      <c r="G9" s="1232">
        <v>37693.86</v>
      </c>
      <c r="H9" s="1233">
        <f>G9</f>
        <v>37693.86</v>
      </c>
      <c r="I9" s="1230">
        <f>I14-I11-I12</f>
        <v>35198.030000000013</v>
      </c>
      <c r="J9" s="1234">
        <f>J14-J11-J12</f>
        <v>30554.010000000024</v>
      </c>
      <c r="Q9" s="1235">
        <v>38215.75</v>
      </c>
    </row>
    <row r="10" spans="1:17" ht="22.5" customHeight="1">
      <c r="A10" s="1579">
        <v>2</v>
      </c>
      <c r="B10" s="1581" t="s">
        <v>1492</v>
      </c>
      <c r="C10" s="1236" t="s">
        <v>703</v>
      </c>
      <c r="D10" s="1237">
        <v>0</v>
      </c>
      <c r="E10" s="1238">
        <v>0</v>
      </c>
      <c r="F10" s="1237">
        <v>0</v>
      </c>
      <c r="G10" s="1239"/>
      <c r="H10" s="1240"/>
      <c r="I10" s="1237">
        <v>0</v>
      </c>
      <c r="J10" s="1239">
        <v>0</v>
      </c>
      <c r="M10" s="1241"/>
      <c r="N10" s="1241"/>
      <c r="O10" s="1241"/>
      <c r="P10" s="1241"/>
      <c r="Q10" s="1239"/>
    </row>
    <row r="11" spans="1:17" ht="22.5" customHeight="1">
      <c r="A11" s="1579"/>
      <c r="B11" s="1582"/>
      <c r="C11" s="1242" t="s">
        <v>1493</v>
      </c>
      <c r="D11" s="1243">
        <f>46300-D10</f>
        <v>46300</v>
      </c>
      <c r="E11" s="1244">
        <f>46300-10086.88</f>
        <v>36213.120000000003</v>
      </c>
      <c r="F11" s="1245">
        <f>D11*1.04</f>
        <v>48152</v>
      </c>
      <c r="G11" s="1246">
        <v>62286.62</v>
      </c>
      <c r="H11" s="1247">
        <f>G11</f>
        <v>62286.62</v>
      </c>
      <c r="I11" s="1245">
        <v>68515.28</v>
      </c>
      <c r="J11" s="1248">
        <v>75366.81</v>
      </c>
      <c r="N11" s="1241"/>
      <c r="Q11" s="1249">
        <v>62286.62</v>
      </c>
    </row>
    <row r="12" spans="1:17" ht="22.5" customHeight="1" thickBot="1">
      <c r="A12" s="1579"/>
      <c r="B12" s="1583"/>
      <c r="C12" s="1250" t="s">
        <v>1494</v>
      </c>
      <c r="D12" s="1251">
        <f>149856.74-D9-D11</f>
        <v>67051.00999999998</v>
      </c>
      <c r="E12" s="1252">
        <v>67051.009999999995</v>
      </c>
      <c r="F12" s="1251">
        <f>151559.74-F9-F11</f>
        <v>51579.25999999998</v>
      </c>
      <c r="G12" s="1253">
        <v>51579.26</v>
      </c>
      <c r="H12" s="1254">
        <v>40141.379999999997</v>
      </c>
      <c r="I12" s="1251">
        <v>39632.349999999991</v>
      </c>
      <c r="J12" s="1253">
        <v>39632.349999999991</v>
      </c>
      <c r="K12" s="1209">
        <v>32780.819999999992</v>
      </c>
      <c r="L12" s="1255">
        <f>D12-E12</f>
        <v>0</v>
      </c>
      <c r="Q12" s="1253"/>
    </row>
    <row r="13" spans="1:17" ht="30.75" customHeight="1" thickBot="1">
      <c r="A13" s="1580"/>
      <c r="B13" s="1558" t="s">
        <v>1495</v>
      </c>
      <c r="C13" s="1584"/>
      <c r="D13" s="1256">
        <f>SUM(D10:D12)</f>
        <v>113351.00999999998</v>
      </c>
      <c r="E13" s="1257">
        <f>SUM(E10:E12)</f>
        <v>103264.13</v>
      </c>
      <c r="F13" s="1256">
        <f>SUM(F10:F12)</f>
        <v>99731.25999999998</v>
      </c>
      <c r="G13" s="1258"/>
      <c r="H13" s="1259"/>
      <c r="I13" s="1256">
        <f>SUM(I10:I12)</f>
        <v>108147.62999999999</v>
      </c>
      <c r="J13" s="1258">
        <f>SUM(J10:J12)</f>
        <v>114999.15999999999</v>
      </c>
      <c r="Q13" s="1258"/>
    </row>
    <row r="14" spans="1:17" ht="36" customHeight="1" thickBot="1">
      <c r="A14" s="1327"/>
      <c r="B14" s="1260"/>
      <c r="C14" s="1261" t="s">
        <v>1263</v>
      </c>
      <c r="D14" s="1262">
        <f>D8+D11+D12</f>
        <v>149856.74</v>
      </c>
      <c r="E14" s="1263">
        <f>E8+E11+E12</f>
        <v>149856.74</v>
      </c>
      <c r="F14" s="1262">
        <f>F8+F11+F12</f>
        <v>151559.74</v>
      </c>
      <c r="G14" s="1264">
        <f>G8+G11+G12</f>
        <v>151559.74000000002</v>
      </c>
      <c r="H14" s="1265">
        <v>140121.85999999999</v>
      </c>
      <c r="I14" s="1266">
        <v>143345.66</v>
      </c>
      <c r="J14" s="1267">
        <v>145553.17000000001</v>
      </c>
      <c r="M14" s="1262">
        <v>151559.74</v>
      </c>
      <c r="Q14" s="1267">
        <f>Q9+Q11</f>
        <v>100502.37</v>
      </c>
    </row>
    <row r="15" spans="1:17">
      <c r="D15" s="1255"/>
      <c r="E15" s="1255"/>
      <c r="F15" s="1255"/>
      <c r="G15" s="1255"/>
      <c r="I15" s="1255"/>
      <c r="J15" s="1255"/>
      <c r="Q15" s="1255"/>
    </row>
    <row r="16" spans="1:17" ht="16.5" thickBot="1">
      <c r="A16" s="1269"/>
      <c r="B16" s="1268" t="s">
        <v>690</v>
      </c>
      <c r="C16" s="1269"/>
      <c r="D16" s="1270"/>
      <c r="E16" s="1270"/>
      <c r="F16" s="1270"/>
      <c r="G16" s="1270"/>
      <c r="H16" s="1270"/>
      <c r="I16" s="1270"/>
      <c r="J16" s="1270"/>
      <c r="M16" s="1255">
        <f>M14-G12-G9</f>
        <v>62286.619999999981</v>
      </c>
      <c r="Q16" s="1255"/>
    </row>
    <row r="17" spans="1:17" ht="37.5" customHeight="1">
      <c r="A17" s="1271" t="s">
        <v>1503</v>
      </c>
      <c r="B17" s="1570" t="s">
        <v>1483</v>
      </c>
      <c r="C17" s="1574"/>
      <c r="D17" s="1572">
        <v>2020</v>
      </c>
      <c r="E17" s="1573"/>
      <c r="F17" s="1572">
        <v>2021</v>
      </c>
      <c r="G17" s="1574"/>
      <c r="H17" s="1271">
        <v>2021</v>
      </c>
      <c r="I17" s="1272">
        <v>2022</v>
      </c>
      <c r="J17" s="1273">
        <v>2023</v>
      </c>
      <c r="O17" s="1274"/>
      <c r="Q17" s="1215" t="s">
        <v>1484</v>
      </c>
    </row>
    <row r="18" spans="1:17" ht="37.5" customHeight="1">
      <c r="A18" s="1585" t="s">
        <v>803</v>
      </c>
      <c r="B18" s="1587" t="s">
        <v>1496</v>
      </c>
      <c r="C18" s="1275" t="s">
        <v>1485</v>
      </c>
      <c r="D18" s="1276" t="s">
        <v>1486</v>
      </c>
      <c r="E18" s="1277" t="s">
        <v>1487</v>
      </c>
      <c r="F18" s="1278" t="s">
        <v>1486</v>
      </c>
      <c r="G18" s="1279" t="s">
        <v>1487</v>
      </c>
      <c r="H18" s="1551" t="s">
        <v>1488</v>
      </c>
      <c r="I18" s="1552"/>
      <c r="J18" s="1553"/>
      <c r="N18" s="1209">
        <v>25</v>
      </c>
      <c r="Q18" s="1319"/>
    </row>
    <row r="19" spans="1:17" ht="28.5" customHeight="1">
      <c r="A19" s="1580"/>
      <c r="B19" s="1588"/>
      <c r="C19" s="1281" t="s">
        <v>1490</v>
      </c>
      <c r="D19" s="1282">
        <v>47000</v>
      </c>
      <c r="E19" s="1283">
        <v>30804.18</v>
      </c>
      <c r="F19" s="1282">
        <v>50623.59</v>
      </c>
      <c r="G19" s="1284">
        <v>50623.59</v>
      </c>
      <c r="H19" s="1282"/>
      <c r="I19" s="1285"/>
      <c r="J19" s="1286"/>
      <c r="Q19" s="1320"/>
    </row>
    <row r="20" spans="1:17" ht="28.5" customHeight="1">
      <c r="A20" s="1586"/>
      <c r="B20" s="1589"/>
      <c r="C20" s="1287" t="s">
        <v>1491</v>
      </c>
      <c r="D20" s="1288">
        <v>47000</v>
      </c>
      <c r="E20" s="1289">
        <v>30804.18</v>
      </c>
      <c r="F20" s="1288">
        <v>50623.59</v>
      </c>
      <c r="G20" s="1290">
        <f>45251.61+5371.98</f>
        <v>50623.59</v>
      </c>
      <c r="H20" s="1288">
        <f>G20</f>
        <v>50623.59</v>
      </c>
      <c r="I20" s="1291"/>
      <c r="J20" s="1292"/>
      <c r="Q20" s="1321">
        <v>49925.63</v>
      </c>
    </row>
    <row r="21" spans="1:17" ht="22.5" customHeight="1">
      <c r="A21" s="1554">
        <v>2</v>
      </c>
      <c r="B21" s="1557" t="s">
        <v>1497</v>
      </c>
      <c r="C21" s="1293" t="s">
        <v>1498</v>
      </c>
      <c r="D21" s="1294">
        <v>232389.23</v>
      </c>
      <c r="E21" s="1295">
        <f>E22+E24</f>
        <v>248585.05</v>
      </c>
      <c r="F21" s="1294">
        <v>233579.64</v>
      </c>
      <c r="G21" s="1296">
        <v>233579.64</v>
      </c>
      <c r="H21" s="1294"/>
      <c r="I21" s="1297"/>
      <c r="J21" s="1289"/>
      <c r="L21" s="1298"/>
      <c r="Q21" s="1322"/>
    </row>
    <row r="22" spans="1:17" ht="30" customHeight="1">
      <c r="A22" s="1555"/>
      <c r="B22" s="1558"/>
      <c r="C22" s="1299" t="s">
        <v>1499</v>
      </c>
      <c r="D22" s="1300">
        <v>133498.01</v>
      </c>
      <c r="E22" s="1289">
        <v>163638.34</v>
      </c>
      <c r="F22" s="1288">
        <v>133498.01</v>
      </c>
      <c r="G22" s="1290">
        <v>111192.53</v>
      </c>
      <c r="H22" s="1288"/>
      <c r="I22" s="1297"/>
      <c r="J22" s="1289"/>
      <c r="Q22" s="1321"/>
    </row>
    <row r="23" spans="1:17" ht="24" customHeight="1">
      <c r="A23" s="1555"/>
      <c r="B23" s="1558"/>
      <c r="C23" s="1299" t="s">
        <v>1500</v>
      </c>
      <c r="D23" s="1300">
        <v>12028.88</v>
      </c>
      <c r="E23" s="1289"/>
      <c r="F23" s="1288">
        <v>100081.63</v>
      </c>
      <c r="G23" s="1290">
        <v>127759.09</v>
      </c>
      <c r="H23" s="1288">
        <v>5371.98</v>
      </c>
      <c r="I23" s="1297"/>
      <c r="J23" s="1289"/>
      <c r="Q23" s="1321"/>
    </row>
    <row r="24" spans="1:17" ht="35.25" customHeight="1">
      <c r="A24" s="1556"/>
      <c r="B24" s="1558"/>
      <c r="C24" s="1301" t="s">
        <v>1501</v>
      </c>
      <c r="D24" s="1300">
        <v>86862.33</v>
      </c>
      <c r="E24" s="1289">
        <v>84946.71</v>
      </c>
      <c r="F24" s="1288">
        <v>0</v>
      </c>
      <c r="G24" s="1290">
        <v>0</v>
      </c>
      <c r="H24" s="1302">
        <v>136193.13</v>
      </c>
      <c r="I24" s="1303">
        <f>I28-I26</f>
        <v>194081.21999999997</v>
      </c>
      <c r="J24" s="1304">
        <f>J28-J26</f>
        <v>194573.1868</v>
      </c>
      <c r="Q24" s="1321"/>
    </row>
    <row r="25" spans="1:17" ht="22.5" customHeight="1">
      <c r="A25" s="1554">
        <v>3</v>
      </c>
      <c r="B25" s="1575" t="s">
        <v>1492</v>
      </c>
      <c r="C25" s="1305" t="s">
        <v>703</v>
      </c>
      <c r="D25" s="1288">
        <v>0</v>
      </c>
      <c r="E25" s="1289">
        <v>0</v>
      </c>
      <c r="F25" s="1288">
        <f>D25*1.04</f>
        <v>0</v>
      </c>
      <c r="G25" s="1290">
        <v>0</v>
      </c>
      <c r="H25" s="1288"/>
      <c r="I25" s="1297">
        <f>F25*1.04</f>
        <v>0</v>
      </c>
      <c r="J25" s="1289">
        <f>I25*1.04</f>
        <v>0</v>
      </c>
      <c r="M25" s="1241"/>
      <c r="Q25" s="1321"/>
    </row>
    <row r="26" spans="1:17" ht="22.5" customHeight="1">
      <c r="A26" s="1555"/>
      <c r="B26" s="1576"/>
      <c r="C26" s="1306" t="s">
        <v>1493</v>
      </c>
      <c r="D26" s="1294">
        <v>56300</v>
      </c>
      <c r="E26" s="1295">
        <v>56300</v>
      </c>
      <c r="F26" s="1294">
        <f>D26*1.04</f>
        <v>58552</v>
      </c>
      <c r="G26" s="1296">
        <f>69923.98-11371.98</f>
        <v>58552</v>
      </c>
      <c r="H26" s="1294">
        <f>G26</f>
        <v>58552</v>
      </c>
      <c r="I26" s="1307">
        <f>F26*1.04</f>
        <v>60894.080000000002</v>
      </c>
      <c r="J26" s="1295">
        <f>I26*1.04</f>
        <v>63329.843200000003</v>
      </c>
      <c r="M26" s="1241"/>
      <c r="Q26" s="1322">
        <v>58225</v>
      </c>
    </row>
    <row r="27" spans="1:17" ht="22.5" customHeight="1" thickBot="1">
      <c r="A27" s="1555"/>
      <c r="B27" s="1577" t="s">
        <v>1495</v>
      </c>
      <c r="C27" s="1578"/>
      <c r="D27" s="1308">
        <f>SUM(D25:D26)</f>
        <v>56300</v>
      </c>
      <c r="E27" s="1309">
        <f>SUM(E25:E26)</f>
        <v>56300</v>
      </c>
      <c r="F27" s="1308">
        <f>SUM(F25:F26)</f>
        <v>58552</v>
      </c>
      <c r="G27" s="1310">
        <v>58522</v>
      </c>
      <c r="H27" s="1308"/>
      <c r="I27" s="1311">
        <f>SUM(I25:I26)</f>
        <v>60894.080000000002</v>
      </c>
      <c r="J27" s="1309">
        <f>SUM(J25:J26)</f>
        <v>63329.843200000003</v>
      </c>
      <c r="L27" s="1255">
        <f>F28-G28</f>
        <v>0</v>
      </c>
      <c r="Q27" s="1323"/>
    </row>
    <row r="28" spans="1:17" ht="29.25" customHeight="1" thickBot="1">
      <c r="A28" s="1328"/>
      <c r="B28" s="1312"/>
      <c r="C28" s="1313" t="s">
        <v>1263</v>
      </c>
      <c r="D28" s="1314">
        <f>D19+D21+D26</f>
        <v>335689.23</v>
      </c>
      <c r="E28" s="1315">
        <f>E19+E21+E26</f>
        <v>335689.23</v>
      </c>
      <c r="F28" s="1314">
        <f>F19+F21+F26</f>
        <v>342755.23</v>
      </c>
      <c r="G28" s="1316">
        <f>G19+G21+G26</f>
        <v>342755.23</v>
      </c>
      <c r="H28" s="1314">
        <v>250740.7</v>
      </c>
      <c r="I28" s="1317">
        <v>254975.3</v>
      </c>
      <c r="J28" s="1315">
        <v>257903.03</v>
      </c>
      <c r="L28" s="1318"/>
      <c r="Q28" s="1324">
        <f>Q20+Q26</f>
        <v>108150.63</v>
      </c>
    </row>
    <row r="29" spans="1:17" hidden="1">
      <c r="B29" s="1329" t="s">
        <v>1504</v>
      </c>
      <c r="C29" s="1329" t="s">
        <v>1505</v>
      </c>
      <c r="D29" s="1330">
        <f>D26</f>
        <v>56300</v>
      </c>
      <c r="E29" s="1330">
        <f>E26</f>
        <v>56300</v>
      </c>
      <c r="F29" s="1330">
        <f>F27</f>
        <v>58552</v>
      </c>
      <c r="G29" s="1330">
        <f>G26</f>
        <v>58552</v>
      </c>
      <c r="H29" s="1331" t="e">
        <f>H26+#REF!</f>
        <v>#REF!</v>
      </c>
      <c r="I29" s="1255">
        <f>I26+I22</f>
        <v>60894.080000000002</v>
      </c>
    </row>
    <row r="30" spans="1:17" hidden="1">
      <c r="B30" s="1329" t="s">
        <v>1506</v>
      </c>
      <c r="C30" s="1329" t="s">
        <v>1507</v>
      </c>
      <c r="D30" s="1330">
        <f>D21+D19</f>
        <v>279389.23</v>
      </c>
      <c r="E30" s="1330">
        <f>E19+E21</f>
        <v>279389.23</v>
      </c>
      <c r="F30" s="1330">
        <f>F19+F21</f>
        <v>284203.23</v>
      </c>
      <c r="G30" s="1330">
        <f>G19+G21</f>
        <v>284203.23</v>
      </c>
      <c r="H30" s="1330">
        <f>H20</f>
        <v>50623.59</v>
      </c>
      <c r="I30" s="1255">
        <f>I29-I28</f>
        <v>-194081.21999999997</v>
      </c>
    </row>
    <row r="31" spans="1:17">
      <c r="D31" s="1318"/>
      <c r="H31" s="1255"/>
      <c r="I31" s="1255"/>
      <c r="J31" s="1255"/>
      <c r="K31" s="1255">
        <f t="shared" ref="K31:P31" si="0">K20+K23+K24+K26</f>
        <v>0</v>
      </c>
      <c r="L31" s="1255">
        <f t="shared" si="0"/>
        <v>0</v>
      </c>
      <c r="M31" s="1255">
        <f t="shared" si="0"/>
        <v>0</v>
      </c>
      <c r="N31" s="1255">
        <f t="shared" si="0"/>
        <v>0</v>
      </c>
      <c r="O31" s="1255">
        <f t="shared" si="0"/>
        <v>0</v>
      </c>
      <c r="P31" s="1255">
        <f t="shared" si="0"/>
        <v>0</v>
      </c>
    </row>
    <row r="32" spans="1:17">
      <c r="G32" s="1318">
        <f>F30-G30</f>
        <v>0</v>
      </c>
      <c r="H32" s="1318"/>
    </row>
    <row r="33" spans="2:4" ht="15.75">
      <c r="B33" s="1332" t="s">
        <v>1508</v>
      </c>
      <c r="D33" s="1318"/>
    </row>
    <row r="34" spans="2:4" ht="15.75">
      <c r="B34" s="1332" t="s">
        <v>1509</v>
      </c>
      <c r="C34" s="1332"/>
    </row>
    <row r="35" spans="2:4">
      <c r="B35" s="1209" t="s">
        <v>1510</v>
      </c>
    </row>
  </sheetData>
  <mergeCells count="21">
    <mergeCell ref="A25:A27"/>
    <mergeCell ref="B25:B26"/>
    <mergeCell ref="B27:C27"/>
    <mergeCell ref="A10:A13"/>
    <mergeCell ref="B10:B12"/>
    <mergeCell ref="B13:C13"/>
    <mergeCell ref="B17:C17"/>
    <mergeCell ref="A18:A20"/>
    <mergeCell ref="B18:B20"/>
    <mergeCell ref="H18:J18"/>
    <mergeCell ref="A21:A24"/>
    <mergeCell ref="B21:B24"/>
    <mergeCell ref="F1:G1"/>
    <mergeCell ref="B6:C6"/>
    <mergeCell ref="D6:E6"/>
    <mergeCell ref="F6:G6"/>
    <mergeCell ref="H7:J7"/>
    <mergeCell ref="A8:A9"/>
    <mergeCell ref="B8:B9"/>
    <mergeCell ref="D17:E17"/>
    <mergeCell ref="F17:G1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B2:I52"/>
  <sheetViews>
    <sheetView topLeftCell="A25" workbookViewId="0">
      <selection activeCell="G32" sqref="G32"/>
    </sheetView>
  </sheetViews>
  <sheetFormatPr defaultColWidth="8.85546875" defaultRowHeight="15"/>
  <cols>
    <col min="2" max="2" width="26.5703125" customWidth="1"/>
    <col min="3" max="3" width="11.28515625" customWidth="1"/>
    <col min="4" max="4" width="14.28515625" customWidth="1"/>
    <col min="5" max="5" width="13.28515625" customWidth="1"/>
    <col min="6" max="6" width="12.5703125" customWidth="1"/>
    <col min="7" max="7" width="15.42578125" customWidth="1"/>
  </cols>
  <sheetData>
    <row r="2" spans="2:7" ht="18.75">
      <c r="B2" s="1656" t="s">
        <v>1449</v>
      </c>
      <c r="C2" s="1657"/>
      <c r="D2" s="1657"/>
      <c r="E2" s="1657"/>
      <c r="F2" s="1657"/>
      <c r="G2" s="1657"/>
    </row>
    <row r="3" spans="2:7">
      <c r="B3" s="1130"/>
      <c r="C3" s="1130"/>
      <c r="D3" s="1130"/>
      <c r="E3" s="1130"/>
      <c r="F3" s="1130"/>
      <c r="G3" s="1130"/>
    </row>
    <row r="4" spans="2:7">
      <c r="B4" s="1658" t="s">
        <v>1456</v>
      </c>
      <c r="C4" s="1658"/>
      <c r="D4" s="1658"/>
      <c r="E4" s="1658"/>
      <c r="F4" s="1658"/>
      <c r="G4" s="1130"/>
    </row>
    <row r="5" spans="2:7">
      <c r="B5" s="1658"/>
      <c r="C5" s="1658"/>
      <c r="D5" s="1658"/>
      <c r="E5" s="1658"/>
      <c r="F5" s="1658"/>
      <c r="G5" s="1130"/>
    </row>
    <row r="6" spans="2:7">
      <c r="B6" s="1658"/>
      <c r="C6" s="1658"/>
      <c r="D6" s="1658"/>
      <c r="E6" s="1658"/>
      <c r="F6" s="1658"/>
      <c r="G6" s="1130"/>
    </row>
    <row r="7" spans="2:7">
      <c r="B7" s="1658" t="s">
        <v>1457</v>
      </c>
      <c r="C7" s="1658"/>
      <c r="D7" s="1658"/>
      <c r="E7" s="1658"/>
      <c r="F7" s="1658"/>
      <c r="G7" s="1130"/>
    </row>
    <row r="8" spans="2:7">
      <c r="B8" s="1658" t="s">
        <v>1458</v>
      </c>
      <c r="C8" s="1658"/>
      <c r="D8" s="1658"/>
      <c r="E8" s="1658"/>
      <c r="F8" s="1658"/>
      <c r="G8" s="1130"/>
    </row>
    <row r="9" spans="2:7">
      <c r="B9" s="1658" t="s">
        <v>1459</v>
      </c>
      <c r="C9" s="1658"/>
      <c r="D9" s="1658"/>
      <c r="E9" s="1658"/>
      <c r="F9" s="1658"/>
      <c r="G9" s="1130"/>
    </row>
    <row r="10" spans="2:7">
      <c r="B10" s="1658" t="s">
        <v>1460</v>
      </c>
      <c r="C10" s="1658"/>
      <c r="D10" s="1658"/>
      <c r="E10" s="1658"/>
      <c r="F10" s="1658"/>
      <c r="G10" s="1130"/>
    </row>
    <row r="11" spans="2:7">
      <c r="B11" s="1658"/>
      <c r="C11" s="1658"/>
      <c r="D11" s="1658"/>
      <c r="E11" s="1658"/>
      <c r="F11" s="1658"/>
      <c r="G11" s="1130"/>
    </row>
    <row r="12" spans="2:7">
      <c r="B12" s="1658"/>
      <c r="C12" s="1658"/>
      <c r="D12" s="1658"/>
      <c r="E12" s="1658"/>
      <c r="F12" s="1658"/>
      <c r="G12" s="1130"/>
    </row>
    <row r="13" spans="2:7">
      <c r="B13" s="1658"/>
      <c r="C13" s="1658"/>
      <c r="D13" s="1658"/>
      <c r="E13" s="1658"/>
      <c r="F13" s="1658"/>
      <c r="G13" s="1130"/>
    </row>
    <row r="14" spans="2:7">
      <c r="B14" s="1130"/>
      <c r="C14" s="1130"/>
      <c r="D14" s="1130"/>
      <c r="E14" s="1130"/>
      <c r="F14" s="1130"/>
      <c r="G14" s="1130"/>
    </row>
    <row r="15" spans="2:7">
      <c r="B15" s="1131"/>
      <c r="C15" s="1131"/>
      <c r="D15" s="1131"/>
      <c r="E15" s="1131"/>
      <c r="F15" s="1131"/>
      <c r="G15" s="1130"/>
    </row>
    <row r="16" spans="2:7">
      <c r="B16" s="1650" t="s">
        <v>1141</v>
      </c>
      <c r="C16" s="1652" t="s">
        <v>1412</v>
      </c>
      <c r="D16" s="1654">
        <v>2019</v>
      </c>
      <c r="E16" s="1655"/>
      <c r="F16" s="1654">
        <v>2021</v>
      </c>
      <c r="G16" s="1655"/>
    </row>
    <row r="17" spans="2:9">
      <c r="B17" s="1651"/>
      <c r="C17" s="1653"/>
      <c r="D17" s="1132" t="s">
        <v>649</v>
      </c>
      <c r="E17" s="1132" t="s">
        <v>650</v>
      </c>
      <c r="F17" s="1132" t="s">
        <v>649</v>
      </c>
      <c r="G17" s="1132" t="s">
        <v>1413</v>
      </c>
    </row>
    <row r="18" spans="2:9" ht="22.5">
      <c r="B18" s="159" t="s">
        <v>1414</v>
      </c>
      <c r="C18" s="1133" t="s">
        <v>1415</v>
      </c>
      <c r="D18" s="1134">
        <f>D19+D20+D21+D26+D30+D25</f>
        <v>731345.00128670619</v>
      </c>
      <c r="E18" s="1134">
        <f>E19+F20+E21+E26+E25</f>
        <v>803364.42163869599</v>
      </c>
      <c r="F18" s="1134">
        <f>F19+F20+F21+F25+F26+F32</f>
        <v>801588.65</v>
      </c>
      <c r="G18" s="1134">
        <f>G19+G20+G21+G25+G26+G32</f>
        <v>840507.21143869322</v>
      </c>
    </row>
    <row r="19" spans="2:9">
      <c r="B19" s="164" t="s">
        <v>497</v>
      </c>
      <c r="C19" s="1133" t="s">
        <v>1416</v>
      </c>
      <c r="D19" s="422">
        <v>491776.37</v>
      </c>
      <c r="E19" s="422">
        <f>D19</f>
        <v>491776.37</v>
      </c>
      <c r="F19" s="422">
        <v>516307.71</v>
      </c>
      <c r="G19" s="422">
        <f>D19*1.032*0.99*0.99*1.036</f>
        <v>515320.59411642904</v>
      </c>
    </row>
    <row r="20" spans="2:9">
      <c r="B20" s="164" t="s">
        <v>498</v>
      </c>
      <c r="C20" s="1133" t="s">
        <v>1417</v>
      </c>
      <c r="D20" s="1">
        <v>91473.77</v>
      </c>
      <c r="E20" s="422">
        <f>'Расчёт ВС методом индексации'!P24</f>
        <v>130533.25088230001</v>
      </c>
      <c r="F20" s="422">
        <v>94490.94</v>
      </c>
      <c r="G20" s="422">
        <f>'Расчёт ВС методом индексации'!U24</f>
        <v>113574.08527917851</v>
      </c>
    </row>
    <row r="21" spans="2:9">
      <c r="B21" s="164" t="s">
        <v>1418</v>
      </c>
      <c r="C21" s="1133" t="s">
        <v>1419</v>
      </c>
      <c r="D21" s="422">
        <f>'Расчёт ВС методом индексации'!Q19</f>
        <v>90138.072166706173</v>
      </c>
      <c r="E21" s="422">
        <f>D23*48050.467*E24</f>
        <v>117864.82949082852</v>
      </c>
      <c r="F21" s="422">
        <v>97069.69</v>
      </c>
      <c r="G21" s="422">
        <f>45255.9*G23*G24</f>
        <v>117770.43382771879</v>
      </c>
    </row>
    <row r="22" spans="2:9">
      <c r="B22" s="1135" t="s">
        <v>1420</v>
      </c>
      <c r="C22" s="1133"/>
      <c r="D22" s="422"/>
      <c r="E22" s="1136"/>
      <c r="F22" s="422"/>
      <c r="G22" s="422"/>
    </row>
    <row r="23" spans="2:9" ht="115.5" customHeight="1">
      <c r="B23" s="46" t="s">
        <v>1421</v>
      </c>
      <c r="C23" s="1133" t="s">
        <v>40</v>
      </c>
      <c r="D23" s="422">
        <v>0.56799999999999995</v>
      </c>
      <c r="E23" s="422">
        <f>'Расчёт ВС методом индексации'!P20</f>
        <v>0.71060637516874581</v>
      </c>
      <c r="F23" s="422"/>
      <c r="G23" s="422">
        <f>D23</f>
        <v>0.56799999999999995</v>
      </c>
    </row>
    <row r="24" spans="2:9">
      <c r="B24" s="46" t="s">
        <v>1422</v>
      </c>
      <c r="C24" s="1133" t="s">
        <v>81</v>
      </c>
      <c r="D24" s="422">
        <f>'Расчёт ВС методом индексации'!Q21</f>
        <v>3.5853968687887678</v>
      </c>
      <c r="E24" s="422">
        <f>'Расчёт ВС методом индексации'!P21</f>
        <v>4.3185532957400419</v>
      </c>
      <c r="F24" s="422"/>
      <c r="G24" s="422">
        <f>E24*1.03*1.03</f>
        <v>4.5815531914506114</v>
      </c>
    </row>
    <row r="25" spans="2:9">
      <c r="B25" s="164" t="s">
        <v>289</v>
      </c>
      <c r="C25" s="1137" t="s">
        <v>1423</v>
      </c>
      <c r="D25" s="422">
        <v>96694.68</v>
      </c>
      <c r="E25" s="422">
        <v>96694.68</v>
      </c>
      <c r="F25" s="422">
        <v>96694.68</v>
      </c>
      <c r="G25" s="422">
        <f>E25</f>
        <v>96694.68</v>
      </c>
    </row>
    <row r="26" spans="2:9" ht="31.5">
      <c r="B26" s="164" t="s">
        <v>1424</v>
      </c>
      <c r="C26" s="1137" t="s">
        <v>1425</v>
      </c>
      <c r="D26" s="422">
        <f>'Расчёт ВС методом индексации'!P31</f>
        <v>2335.0891200000005</v>
      </c>
      <c r="E26" s="422">
        <f>D27*(E19+E20+E21+E25)</f>
        <v>2537.6021478673756</v>
      </c>
      <c r="F26" s="422">
        <v>2525.63</v>
      </c>
      <c r="G26" s="422">
        <f>F27*(G19+G20+G21+G25)</f>
        <v>2647.4182153669326</v>
      </c>
      <c r="H26">
        <f>G18/99.7*0.3</f>
        <v>2529.1089611996781</v>
      </c>
      <c r="I26">
        <f>D26/(D19+D20+D21+D25)</f>
        <v>3.0322568437145653E-3</v>
      </c>
    </row>
    <row r="27" spans="2:9">
      <c r="B27" s="46" t="s">
        <v>1426</v>
      </c>
      <c r="C27" s="1137" t="s">
        <v>353</v>
      </c>
      <c r="D27" s="1520">
        <f>D26/(D19+D20+D21+D25)</f>
        <v>3.0322568437145653E-3</v>
      </c>
      <c r="E27" s="1520"/>
      <c r="F27" s="1522">
        <f>F26/(F19+F20+F21+F25)</f>
        <v>3.1391325939887221E-3</v>
      </c>
      <c r="G27" s="1520"/>
    </row>
    <row r="28" spans="2:9" ht="30">
      <c r="B28" s="1138" t="s">
        <v>1427</v>
      </c>
      <c r="C28" s="1137" t="s">
        <v>976</v>
      </c>
      <c r="D28" s="422">
        <f>D18/D29</f>
        <v>20.628473262165642</v>
      </c>
      <c r="E28" s="422">
        <f>E18/E29</f>
        <v>22.603007178241157</v>
      </c>
      <c r="F28" s="422"/>
      <c r="G28" s="422">
        <f>G18/G29</f>
        <v>23.102345161706594</v>
      </c>
    </row>
    <row r="29" spans="2:9" ht="63" customHeight="1">
      <c r="B29" s="1138" t="s">
        <v>1428</v>
      </c>
      <c r="C29" s="1137" t="s">
        <v>587</v>
      </c>
      <c r="D29" s="422">
        <f>'Расчёт ВС методом индексации'!Q46</f>
        <v>35453.181240904269</v>
      </c>
      <c r="E29" s="422">
        <f>'Расчёт ВС методом индексации'!P46</f>
        <v>35542.368999999999</v>
      </c>
      <c r="F29" s="422">
        <v>36381.9</v>
      </c>
      <c r="G29" s="422">
        <f>F29</f>
        <v>36381.9</v>
      </c>
      <c r="I29" s="595">
        <v>35453.18</v>
      </c>
    </row>
    <row r="30" spans="2:9">
      <c r="B30" s="159" t="s">
        <v>1463</v>
      </c>
      <c r="C30" s="1133"/>
      <c r="D30" s="286">
        <f>-41072.98</f>
        <v>-41072.980000000003</v>
      </c>
      <c r="E30" s="286"/>
      <c r="F30" s="286"/>
      <c r="G30" s="286"/>
    </row>
    <row r="31" spans="2:9">
      <c r="B31" s="159" t="s">
        <v>1464</v>
      </c>
      <c r="C31" s="1133"/>
      <c r="D31" s="286"/>
      <c r="E31" s="286"/>
      <c r="F31" s="286"/>
      <c r="G31" s="286"/>
    </row>
    <row r="32" spans="2:9">
      <c r="B32" s="159" t="s">
        <v>578</v>
      </c>
      <c r="C32" s="1133"/>
      <c r="D32" s="286"/>
      <c r="E32" s="286"/>
      <c r="F32" s="286">
        <v>-5500</v>
      </c>
      <c r="G32" s="286">
        <f>-5500</f>
        <v>-5500</v>
      </c>
    </row>
    <row r="33" spans="2:7">
      <c r="B33" s="1139"/>
      <c r="C33" s="1139"/>
      <c r="D33" s="1139"/>
      <c r="E33" s="1139"/>
      <c r="F33" s="1139"/>
      <c r="G33" s="1139"/>
    </row>
    <row r="34" spans="2:7">
      <c r="B34" s="159" t="s">
        <v>1430</v>
      </c>
      <c r="C34" s="1133"/>
      <c r="D34" s="286"/>
      <c r="E34" s="286"/>
      <c r="F34" s="286"/>
      <c r="G34" s="286"/>
    </row>
    <row r="35" spans="2:7" ht="33.75">
      <c r="B35" s="164" t="s">
        <v>1462</v>
      </c>
      <c r="C35" s="1133" t="s">
        <v>1432</v>
      </c>
      <c r="D35" s="286"/>
      <c r="E35" s="422">
        <f>D28*E29</f>
        <v>733184.80859052495</v>
      </c>
      <c r="F35" s="286"/>
      <c r="G35" s="286"/>
    </row>
    <row r="36" spans="2:7">
      <c r="B36" s="164" t="s">
        <v>1433</v>
      </c>
      <c r="C36" s="1133" t="s">
        <v>1434</v>
      </c>
      <c r="D36" s="286"/>
      <c r="E36" s="422">
        <f>E18+E50</f>
        <v>772638.85163869604</v>
      </c>
      <c r="F36" s="286"/>
      <c r="G36" s="286"/>
    </row>
    <row r="37" spans="2:7" ht="78.75">
      <c r="B37" s="164" t="s">
        <v>1435</v>
      </c>
      <c r="C37" s="1133" t="s">
        <v>1436</v>
      </c>
      <c r="D37" s="286"/>
      <c r="E37" s="422">
        <f>E36-E35</f>
        <v>39454.043048171094</v>
      </c>
      <c r="F37" s="286"/>
      <c r="G37" s="286"/>
    </row>
    <row r="38" spans="2:7">
      <c r="B38" s="46" t="s">
        <v>1437</v>
      </c>
      <c r="C38" s="1133" t="s">
        <v>353</v>
      </c>
      <c r="D38" s="286"/>
      <c r="E38" s="422">
        <v>3.2</v>
      </c>
      <c r="F38" s="286"/>
      <c r="G38" s="286"/>
    </row>
    <row r="39" spans="2:7">
      <c r="B39" s="46" t="s">
        <v>1438</v>
      </c>
      <c r="C39" s="1133" t="s">
        <v>353</v>
      </c>
      <c r="D39" s="286"/>
      <c r="E39" s="422">
        <v>3.6</v>
      </c>
      <c r="F39" s="286"/>
      <c r="G39" s="286"/>
    </row>
    <row r="40" spans="2:7" ht="67.5">
      <c r="B40" s="1140" t="s">
        <v>1439</v>
      </c>
      <c r="C40" s="1133" t="s">
        <v>1440</v>
      </c>
      <c r="D40" s="286"/>
      <c r="E40" s="286"/>
      <c r="F40" s="286"/>
      <c r="G40" s="1134">
        <f>G18+E37</f>
        <v>879961.25448686432</v>
      </c>
    </row>
    <row r="41" spans="2:7" ht="30">
      <c r="B41" s="1138" t="s">
        <v>1441</v>
      </c>
      <c r="C41" s="1137" t="s">
        <v>976</v>
      </c>
      <c r="D41" s="286"/>
      <c r="E41" s="286"/>
      <c r="F41" s="286"/>
      <c r="G41" s="422">
        <f>G40/G29</f>
        <v>24.18678668477634</v>
      </c>
    </row>
    <row r="42" spans="2:7" ht="31.5">
      <c r="B42" s="1138" t="s">
        <v>1442</v>
      </c>
      <c r="C42" s="1137" t="s">
        <v>587</v>
      </c>
      <c r="D42" s="286"/>
      <c r="E42" s="286"/>
      <c r="F42" s="422">
        <f>F29</f>
        <v>36381.9</v>
      </c>
      <c r="G42" s="422">
        <f>E29</f>
        <v>35542.368999999999</v>
      </c>
    </row>
    <row r="43" spans="2:7" ht="21">
      <c r="B43" s="46" t="s">
        <v>1443</v>
      </c>
      <c r="C43" s="1133" t="s">
        <v>353</v>
      </c>
      <c r="D43" s="286"/>
      <c r="E43" s="286"/>
      <c r="F43" s="286"/>
      <c r="G43" s="422">
        <f>G42/F42*100</f>
        <v>97.692448717631564</v>
      </c>
    </row>
    <row r="44" spans="2:7" ht="31.5">
      <c r="B44" s="46" t="s">
        <v>1444</v>
      </c>
    </row>
    <row r="46" spans="2:7">
      <c r="B46" s="1141" t="s">
        <v>1807</v>
      </c>
      <c r="C46" s="1142" t="s">
        <v>649</v>
      </c>
      <c r="D46" s="1142" t="s">
        <v>650</v>
      </c>
      <c r="E46" s="1142" t="s">
        <v>1451</v>
      </c>
    </row>
    <row r="47" spans="2:7">
      <c r="B47" t="s">
        <v>1808</v>
      </c>
      <c r="C47" s="118">
        <v>30725.57</v>
      </c>
      <c r="D47" s="118">
        <v>0</v>
      </c>
      <c r="E47" s="118">
        <f>D47-C47</f>
        <v>-30725.57</v>
      </c>
    </row>
    <row r="48" spans="2:7">
      <c r="B48" t="s">
        <v>1453</v>
      </c>
      <c r="C48" s="118"/>
      <c r="D48" s="118"/>
      <c r="E48" s="118">
        <f>C48-D48</f>
        <v>0</v>
      </c>
    </row>
    <row r="49" spans="2:5">
      <c r="B49" t="s">
        <v>1121</v>
      </c>
      <c r="C49" s="118"/>
      <c r="D49" s="118"/>
      <c r="E49" s="118">
        <f>C49-D49</f>
        <v>0</v>
      </c>
    </row>
    <row r="50" spans="2:5">
      <c r="B50" s="1143" t="s">
        <v>1454</v>
      </c>
      <c r="C50" s="1"/>
      <c r="D50" s="1"/>
      <c r="E50" s="118">
        <f>SUM(E47:E49)</f>
        <v>-30725.57</v>
      </c>
    </row>
    <row r="52" spans="2:5" ht="30">
      <c r="B52" s="1144" t="s">
        <v>1455</v>
      </c>
      <c r="C52" s="1145">
        <f>0*(1-0.01)*(1+0.026)*(1+0)</f>
        <v>0</v>
      </c>
    </row>
  </sheetData>
  <mergeCells count="10">
    <mergeCell ref="B16:B17"/>
    <mergeCell ref="C16:C17"/>
    <mergeCell ref="D16:E16"/>
    <mergeCell ref="F16:G16"/>
    <mergeCell ref="B2:G2"/>
    <mergeCell ref="B4:F6"/>
    <mergeCell ref="B7:F7"/>
    <mergeCell ref="B8:F8"/>
    <mergeCell ref="B9:F9"/>
    <mergeCell ref="B10:F1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B1:AK115"/>
  <sheetViews>
    <sheetView workbookViewId="0">
      <pane xSplit="4" ySplit="7" topLeftCell="E43" activePane="bottomRight" state="frozen"/>
      <selection activeCell="M40" sqref="M40"/>
      <selection pane="topRight" activeCell="M40" sqref="M40"/>
      <selection pane="bottomLeft" activeCell="M40" sqref="M40"/>
      <selection pane="bottomRight" activeCell="B2" sqref="B2:AA51"/>
    </sheetView>
  </sheetViews>
  <sheetFormatPr defaultColWidth="8.85546875" defaultRowHeight="15" outlineLevelRow="1" outlineLevelCol="1"/>
  <cols>
    <col min="1" max="1" width="2" style="146" customWidth="1"/>
    <col min="2" max="2" width="7.42578125" style="198" customWidth="1"/>
    <col min="3" max="3" width="52.7109375" style="216" customWidth="1"/>
    <col min="4" max="4" width="9.42578125" style="198" customWidth="1"/>
    <col min="5" max="5" width="12.140625" style="146" hidden="1" customWidth="1"/>
    <col min="6" max="6" width="13.28515625" style="146" hidden="1" customWidth="1"/>
    <col min="7" max="7" width="13.42578125" style="146" hidden="1" customWidth="1"/>
    <col min="8" max="8" width="12.140625" style="146" hidden="1" customWidth="1"/>
    <col min="9" max="9" width="12" style="146" hidden="1" customWidth="1"/>
    <col min="10" max="12" width="11.7109375" style="146" hidden="1" customWidth="1"/>
    <col min="13" max="13" width="13" style="146" hidden="1" customWidth="1"/>
    <col min="14" max="15" width="12.7109375" style="146" hidden="1" customWidth="1"/>
    <col min="16" max="16" width="14.140625" style="146" hidden="1" customWidth="1"/>
    <col min="17" max="17" width="14.7109375" style="225" hidden="1" customWidth="1"/>
    <col min="18" max="18" width="14.42578125" style="145" customWidth="1" outlineLevel="1"/>
    <col min="19" max="19" width="14" style="145" customWidth="1"/>
    <col min="20" max="20" width="13.85546875" style="145" customWidth="1" outlineLevel="1"/>
    <col min="21" max="21" width="13.7109375" style="1148" hidden="1" customWidth="1"/>
    <col min="22" max="22" width="15.7109375" style="1148" hidden="1" customWidth="1"/>
    <col min="23" max="23" width="19.42578125" style="1148" customWidth="1"/>
    <col min="24" max="24" width="15.7109375" style="145" customWidth="1" outlineLevel="1"/>
    <col min="25" max="25" width="14.7109375" style="145" customWidth="1"/>
    <col min="26" max="26" width="14" style="145" hidden="1" customWidth="1" outlineLevel="1"/>
    <col min="27" max="27" width="18.42578125" style="145" customWidth="1" collapsed="1"/>
    <col min="28" max="28" width="11.140625" style="146" customWidth="1"/>
    <col min="29" max="29" width="11.42578125" style="146" customWidth="1"/>
    <col min="30" max="30" width="8.85546875" style="146"/>
    <col min="31" max="32" width="20.140625" style="146" customWidth="1"/>
    <col min="33" max="33" width="8.85546875" style="146"/>
    <col min="34" max="34" width="22.7109375" style="146" customWidth="1"/>
    <col min="35" max="35" width="14.42578125" style="146" customWidth="1"/>
    <col min="36" max="36" width="9.7109375" style="146" bestFit="1" customWidth="1"/>
    <col min="37" max="16384" width="8.85546875" style="146"/>
  </cols>
  <sheetData>
    <row r="1" spans="2:31">
      <c r="U1" s="1338"/>
      <c r="V1" s="1338"/>
      <c r="W1" s="1338"/>
      <c r="Z1" s="1670" t="s">
        <v>1335</v>
      </c>
      <c r="AA1" s="1670"/>
    </row>
    <row r="2" spans="2:31" s="139" customFormat="1">
      <c r="B2" s="138"/>
      <c r="C2" s="682" t="s">
        <v>1407</v>
      </c>
      <c r="D2" s="138"/>
      <c r="P2" s="683">
        <f>Q44-'К ВС'!Q328</f>
        <v>2.1606357768177986E-4</v>
      </c>
      <c r="Q2" s="684">
        <v>0</v>
      </c>
      <c r="R2" s="684"/>
      <c r="S2" s="684">
        <f>S28-S12-S14</f>
        <v>-2888.3800000000119</v>
      </c>
      <c r="T2" s="684"/>
      <c r="U2" s="1339"/>
      <c r="V2" s="1339"/>
      <c r="W2" s="1339"/>
      <c r="X2" s="684"/>
      <c r="Y2" s="684"/>
      <c r="Z2" s="684"/>
      <c r="AA2" s="684"/>
    </row>
    <row r="3" spans="2:31" s="139" customFormat="1" hidden="1">
      <c r="B3" s="138"/>
      <c r="C3" s="142" t="s">
        <v>537</v>
      </c>
      <c r="D3" s="138"/>
      <c r="P3" s="140"/>
      <c r="Q3" s="143">
        <v>66405.64</v>
      </c>
      <c r="R3" s="144"/>
      <c r="S3" s="144">
        <v>71987.39</v>
      </c>
      <c r="T3" s="144"/>
      <c r="U3" s="1340"/>
      <c r="V3" s="1340"/>
      <c r="W3" s="1340"/>
      <c r="X3" s="144"/>
      <c r="Y3" s="144">
        <v>74697.31</v>
      </c>
      <c r="Z3" s="144"/>
      <c r="AA3" s="144">
        <v>77685.2</v>
      </c>
    </row>
    <row r="4" spans="2:31">
      <c r="B4" s="681" t="s">
        <v>538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U4" s="1338"/>
      <c r="V4" s="1338"/>
      <c r="W4" s="1338"/>
    </row>
    <row r="5" spans="2:31" s="148" customFormat="1" ht="46.5" customHeight="1">
      <c r="B5" s="1671" t="s">
        <v>539</v>
      </c>
      <c r="C5" s="1596" t="s">
        <v>540</v>
      </c>
      <c r="D5" s="1672" t="s">
        <v>541</v>
      </c>
      <c r="E5" s="1596" t="s">
        <v>4</v>
      </c>
      <c r="F5" s="1596"/>
      <c r="G5" s="1596" t="s">
        <v>5</v>
      </c>
      <c r="H5" s="1596"/>
      <c r="I5" s="1596" t="s">
        <v>6</v>
      </c>
      <c r="J5" s="1596"/>
      <c r="K5" s="147"/>
      <c r="L5" s="147"/>
      <c r="M5" s="1602" t="s">
        <v>7</v>
      </c>
      <c r="N5" s="1604"/>
      <c r="O5" s="1603"/>
      <c r="P5" s="1596" t="s">
        <v>1410</v>
      </c>
      <c r="Q5" s="1596"/>
      <c r="R5" s="1662" t="s">
        <v>1411</v>
      </c>
      <c r="S5" s="1662"/>
      <c r="T5" s="1662" t="s">
        <v>10</v>
      </c>
      <c r="U5" s="1662"/>
      <c r="V5" s="1373"/>
      <c r="W5" s="1524" t="s">
        <v>1805</v>
      </c>
      <c r="X5" s="1662" t="s">
        <v>11</v>
      </c>
      <c r="Y5" s="1662"/>
      <c r="Z5" s="1662" t="s">
        <v>12</v>
      </c>
      <c r="AA5" s="1662"/>
    </row>
    <row r="6" spans="2:31" s="148" customFormat="1" ht="42.6" customHeight="1">
      <c r="B6" s="1671"/>
      <c r="C6" s="1596"/>
      <c r="D6" s="1672"/>
      <c r="E6" s="149" t="s">
        <v>13</v>
      </c>
      <c r="F6" s="150" t="s">
        <v>14</v>
      </c>
      <c r="G6" s="149" t="s">
        <v>13</v>
      </c>
      <c r="H6" s="150" t="s">
        <v>14</v>
      </c>
      <c r="I6" s="149" t="s">
        <v>13</v>
      </c>
      <c r="J6" s="150" t="s">
        <v>14</v>
      </c>
      <c r="K6" s="150"/>
      <c r="L6" s="150" t="s">
        <v>542</v>
      </c>
      <c r="M6" s="149" t="s">
        <v>13</v>
      </c>
      <c r="N6" s="150" t="s">
        <v>15</v>
      </c>
      <c r="O6" s="150" t="s">
        <v>14</v>
      </c>
      <c r="P6" s="149" t="s">
        <v>1361</v>
      </c>
      <c r="Q6" s="151" t="s">
        <v>17</v>
      </c>
      <c r="R6" s="152" t="s">
        <v>693</v>
      </c>
      <c r="S6" s="153" t="s">
        <v>17</v>
      </c>
      <c r="T6" s="152" t="s">
        <v>16</v>
      </c>
      <c r="U6" s="1449" t="s">
        <v>17</v>
      </c>
      <c r="V6" s="1150" t="s">
        <v>1536</v>
      </c>
      <c r="W6" s="1150"/>
      <c r="X6" s="152" t="s">
        <v>16</v>
      </c>
      <c r="Y6" s="153" t="s">
        <v>17</v>
      </c>
      <c r="Z6" s="152" t="s">
        <v>16</v>
      </c>
      <c r="AA6" s="153" t="s">
        <v>17</v>
      </c>
    </row>
    <row r="7" spans="2:31" s="148" customFormat="1">
      <c r="B7" s="154">
        <v>1</v>
      </c>
      <c r="C7" s="154">
        <v>2</v>
      </c>
      <c r="D7" s="154">
        <v>3</v>
      </c>
      <c r="E7" s="155">
        <v>4</v>
      </c>
      <c r="F7" s="155">
        <v>5</v>
      </c>
      <c r="G7" s="155">
        <v>6</v>
      </c>
      <c r="H7" s="155">
        <v>7</v>
      </c>
      <c r="I7" s="155">
        <v>8</v>
      </c>
      <c r="J7" s="155">
        <v>9</v>
      </c>
      <c r="K7" s="155"/>
      <c r="L7" s="155"/>
      <c r="M7" s="155">
        <v>10</v>
      </c>
      <c r="N7" s="155">
        <v>11</v>
      </c>
      <c r="O7" s="155" t="s">
        <v>640</v>
      </c>
      <c r="P7" s="155">
        <v>12</v>
      </c>
      <c r="Q7" s="156">
        <v>13</v>
      </c>
      <c r="R7" s="157">
        <v>14</v>
      </c>
      <c r="S7" s="157">
        <v>15</v>
      </c>
      <c r="T7" s="157">
        <v>16</v>
      </c>
      <c r="U7" s="1151">
        <v>17</v>
      </c>
      <c r="V7" s="1151"/>
      <c r="W7" s="1151"/>
      <c r="X7" s="157">
        <v>18</v>
      </c>
      <c r="Y7" s="157">
        <v>19</v>
      </c>
      <c r="Z7" s="157">
        <v>20</v>
      </c>
      <c r="AA7" s="157">
        <v>21</v>
      </c>
    </row>
    <row r="8" spans="2:31">
      <c r="B8" s="158">
        <v>1</v>
      </c>
      <c r="C8" s="159" t="s">
        <v>543</v>
      </c>
      <c r="D8" s="160" t="s">
        <v>544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63"/>
      <c r="S8" s="163"/>
      <c r="T8" s="163"/>
      <c r="U8" s="1149"/>
      <c r="V8" s="1149"/>
      <c r="W8" s="1149"/>
      <c r="X8" s="163"/>
      <c r="Y8" s="163"/>
      <c r="Z8" s="163"/>
      <c r="AA8" s="163"/>
    </row>
    <row r="9" spans="2:31">
      <c r="B9" s="158" t="s">
        <v>24</v>
      </c>
      <c r="C9" s="164" t="s">
        <v>545</v>
      </c>
      <c r="D9" s="160" t="s">
        <v>544</v>
      </c>
      <c r="E9" s="165">
        <f t="shared" ref="E9:K9" si="0">E10+E19+E24</f>
        <v>593504.44241421751</v>
      </c>
      <c r="F9" s="165">
        <f t="shared" si="0"/>
        <v>605519.62747458601</v>
      </c>
      <c r="G9" s="165">
        <f t="shared" si="0"/>
        <v>645742.07017382805</v>
      </c>
      <c r="H9" s="165">
        <f t="shared" si="0"/>
        <v>725791.52736522479</v>
      </c>
      <c r="I9" s="165">
        <f t="shared" si="0"/>
        <v>701180.28890277073</v>
      </c>
      <c r="J9" s="165">
        <f t="shared" si="0"/>
        <v>699650.30510413786</v>
      </c>
      <c r="K9" s="165">
        <f t="shared" si="0"/>
        <v>683966.24688600644</v>
      </c>
      <c r="L9" s="165"/>
      <c r="M9" s="165">
        <f>M10+M19+M24</f>
        <v>707779.9218144709</v>
      </c>
      <c r="N9" s="165">
        <f>N10+N19+N24</f>
        <v>786551.89625849598</v>
      </c>
      <c r="O9" s="165">
        <f>O10+O19+O24</f>
        <v>803174.83914244408</v>
      </c>
      <c r="P9" s="165">
        <f>P10+P19+P24</f>
        <v>898186.77608242165</v>
      </c>
      <c r="Q9" s="636">
        <v>670459.9220671393</v>
      </c>
      <c r="R9" s="165">
        <f t="shared" ref="R9:X9" si="1">R10+R19+R24</f>
        <v>961553.71443683538</v>
      </c>
      <c r="S9" s="639">
        <f t="shared" si="1"/>
        <v>690181.23576125596</v>
      </c>
      <c r="T9" s="165">
        <f t="shared" si="1"/>
        <v>1030779.1764308428</v>
      </c>
      <c r="U9" s="1152">
        <f t="shared" si="1"/>
        <v>745813.56660114811</v>
      </c>
      <c r="V9" s="1152"/>
      <c r="W9" s="165">
        <f t="shared" si="1"/>
        <v>746665.11322332639</v>
      </c>
      <c r="X9" s="165">
        <f t="shared" si="1"/>
        <v>1058576.4546507334</v>
      </c>
      <c r="Y9" s="639">
        <f>Y10+Y19+Y24</f>
        <v>747811.76992686465</v>
      </c>
      <c r="Z9" s="165">
        <f>Z10+Z19+Z24</f>
        <v>1089995.9174539433</v>
      </c>
      <c r="AA9" s="639">
        <f>AA10+AA19+AA24</f>
        <v>769561.56205015513</v>
      </c>
    </row>
    <row r="10" spans="2:31">
      <c r="B10" s="158" t="s">
        <v>26</v>
      </c>
      <c r="C10" s="164" t="s">
        <v>497</v>
      </c>
      <c r="D10" s="160" t="s">
        <v>544</v>
      </c>
      <c r="E10" s="165">
        <v>432563.20177697745</v>
      </c>
      <c r="F10" s="165">
        <v>448281.68708558602</v>
      </c>
      <c r="G10" s="165">
        <v>470871.260098828</v>
      </c>
      <c r="H10" s="165">
        <v>532476.17459092487</v>
      </c>
      <c r="I10" s="166">
        <v>479004.46936152078</v>
      </c>
      <c r="J10" s="165">
        <v>495372.66999153787</v>
      </c>
      <c r="K10" s="165">
        <v>479004.46936152078</v>
      </c>
      <c r="L10" s="165">
        <v>41430.483781280083</v>
      </c>
      <c r="M10" s="166">
        <v>491760.36</v>
      </c>
      <c r="N10" s="165">
        <v>561661.72901085357</v>
      </c>
      <c r="O10" s="165">
        <f>'К ВС'!N322</f>
        <v>590363.75774170004</v>
      </c>
      <c r="P10" s="165">
        <f>'К ВС'!S322</f>
        <v>658581.40520012169</v>
      </c>
      <c r="Q10" s="636">
        <v>488848.07841989718</v>
      </c>
      <c r="R10" s="165">
        <f>'К ВС'!V322</f>
        <v>688609.46729894751</v>
      </c>
      <c r="S10" s="639">
        <f>'К ВС'!U322</f>
        <v>503411.80115681014</v>
      </c>
      <c r="T10" s="639">
        <f>'К ВС'!W322</f>
        <v>751688.45394002472</v>
      </c>
      <c r="U10" s="1152">
        <f>'Корректировка ВС'!G19</f>
        <v>515320.59411642904</v>
      </c>
      <c r="V10" s="1152"/>
      <c r="W10" s="1152">
        <f>'Корректировка ВС'!G19</f>
        <v>515320.59411642904</v>
      </c>
      <c r="X10" s="639">
        <f>'К ВС'!Y322</f>
        <v>772153.73263859039</v>
      </c>
      <c r="Y10" s="639">
        <f>U10*(1-Y16)*Y17</f>
        <v>530574.08370227541</v>
      </c>
      <c r="Z10" s="639">
        <f>'К ВС'!AA322</f>
        <v>794552.5913087962</v>
      </c>
      <c r="AA10" s="639">
        <f>Y10*(1-AA16)*AA17</f>
        <v>546279.07657986274</v>
      </c>
      <c r="AE10" s="146" t="s">
        <v>1792</v>
      </c>
    </row>
    <row r="11" spans="2:31" hidden="1">
      <c r="B11" s="158"/>
      <c r="C11" s="142" t="s">
        <v>546</v>
      </c>
      <c r="D11" s="160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>
        <f>'К ВС'!N117</f>
        <v>16103.706</v>
      </c>
      <c r="P11" s="165">
        <f>'К ВС'!R117</f>
        <v>24096.29</v>
      </c>
      <c r="Q11" s="636">
        <v>12941.167783179997</v>
      </c>
      <c r="R11" s="165">
        <f>'К ВС'!V117</f>
        <v>23956.19</v>
      </c>
      <c r="S11" s="639">
        <f>'К ВС'!U117</f>
        <v>13326.814583118761</v>
      </c>
      <c r="T11" s="639">
        <f>'К ВС'!W117</f>
        <v>23901.37</v>
      </c>
      <c r="U11" s="1152">
        <f>S11*(1-U16)*U17</f>
        <v>13668.514109029928</v>
      </c>
      <c r="V11" s="1152"/>
      <c r="W11" s="1152"/>
      <c r="X11" s="639">
        <f>'К ВС'!Y117</f>
        <v>24507.51</v>
      </c>
      <c r="Y11" s="639">
        <f>U11*(1-Y16)*Y17</f>
        <v>14073.102126657213</v>
      </c>
      <c r="Z11" s="639"/>
      <c r="AA11" s="639">
        <f>Y11*(1-AA16)*AA17</f>
        <v>14489.665949606268</v>
      </c>
    </row>
    <row r="12" spans="2:31" ht="21" hidden="1">
      <c r="B12" s="158"/>
      <c r="C12" s="142" t="s">
        <v>1311</v>
      </c>
      <c r="D12" s="160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>
        <f>'К ВС'!N119</f>
        <v>23912.913</v>
      </c>
      <c r="P12" s="165">
        <f>'К ВС'!S119</f>
        <v>57967.834000000003</v>
      </c>
      <c r="Q12" s="637">
        <v>58779.55999999999</v>
      </c>
      <c r="R12" s="640">
        <f>'К ВС'!V119</f>
        <v>27315</v>
      </c>
      <c r="S12" s="641">
        <v>63077.33</v>
      </c>
      <c r="T12" s="642">
        <v>62286.62</v>
      </c>
      <c r="U12" s="1153">
        <f>U28-U14</f>
        <v>44866.19999999999</v>
      </c>
      <c r="V12" s="1153"/>
      <c r="W12" s="1153"/>
      <c r="X12" s="642">
        <v>68515.28</v>
      </c>
      <c r="Y12" s="642">
        <v>74697.31</v>
      </c>
      <c r="Z12" s="642">
        <v>75366.81</v>
      </c>
      <c r="AA12" s="642">
        <v>77685.2</v>
      </c>
    </row>
    <row r="13" spans="2:31" ht="21" hidden="1">
      <c r="B13" s="158"/>
      <c r="C13" s="142" t="s">
        <v>1310</v>
      </c>
      <c r="D13" s="160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637"/>
      <c r="R13" s="640">
        <v>52212.480000000003</v>
      </c>
      <c r="S13" s="641"/>
      <c r="T13" s="642">
        <v>40141.379999999997</v>
      </c>
      <c r="U13" s="1153"/>
      <c r="V13" s="1153"/>
      <c r="W13" s="1153"/>
      <c r="X13" s="642">
        <v>39632.35</v>
      </c>
      <c r="Y13" s="642"/>
      <c r="Z13" s="642">
        <v>39632.35</v>
      </c>
      <c r="AA13" s="642"/>
    </row>
    <row r="14" spans="2:31" ht="21" hidden="1">
      <c r="B14" s="158"/>
      <c r="C14" s="142" t="s">
        <v>1312</v>
      </c>
      <c r="D14" s="160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>
        <f>2472.25/1.18</f>
        <v>2095.1271186440681</v>
      </c>
      <c r="P14" s="165">
        <f>O14</f>
        <v>2095.1271186440681</v>
      </c>
      <c r="Q14" s="637">
        <v>37915.120000000003</v>
      </c>
      <c r="R14" s="640">
        <v>36505.730000000003</v>
      </c>
      <c r="S14" s="642">
        <v>36505.730000000003</v>
      </c>
      <c r="T14" s="642">
        <f>37693.86</f>
        <v>37693.86</v>
      </c>
      <c r="U14" s="1152">
        <v>51828.480000000003</v>
      </c>
      <c r="V14" s="1152"/>
      <c r="W14" s="1152"/>
      <c r="X14" s="642">
        <v>35198.03</v>
      </c>
      <c r="Y14" s="642"/>
      <c r="Z14" s="642">
        <v>30554.01</v>
      </c>
      <c r="AA14" s="642"/>
    </row>
    <row r="15" spans="2:31" hidden="1">
      <c r="B15" s="158"/>
      <c r="C15" s="142" t="s">
        <v>547</v>
      </c>
      <c r="D15" s="160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636">
        <v>4297.7700000000004</v>
      </c>
      <c r="R15" s="165"/>
      <c r="S15" s="639">
        <f>Q15*(1-S16)*S17</f>
        <v>4424.9839920000004</v>
      </c>
      <c r="T15" s="639"/>
      <c r="U15" s="1152">
        <f>S15*(1-U16)*U17</f>
        <v>4538.4405815548798</v>
      </c>
      <c r="V15" s="1152"/>
      <c r="W15" s="1152"/>
      <c r="X15" s="639"/>
      <c r="Y15" s="639">
        <f>U15*(1-Y16)*Y17</f>
        <v>4672.7784227689044</v>
      </c>
      <c r="Z15" s="639"/>
      <c r="AA15" s="639">
        <f>Y15*(1-AA16)*AA17</f>
        <v>4811.0926640828638</v>
      </c>
    </row>
    <row r="16" spans="2:31" hidden="1">
      <c r="B16" s="160" t="s">
        <v>548</v>
      </c>
      <c r="C16" s="46" t="s">
        <v>549</v>
      </c>
      <c r="D16" s="160" t="s">
        <v>544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8"/>
      <c r="R16" s="167"/>
      <c r="S16" s="643">
        <v>0.01</v>
      </c>
      <c r="T16" s="643"/>
      <c r="U16" s="1154">
        <f>S16</f>
        <v>0.01</v>
      </c>
      <c r="V16" s="1154"/>
      <c r="W16" s="1154"/>
      <c r="X16" s="643"/>
      <c r="Y16" s="643">
        <f>U16</f>
        <v>0.01</v>
      </c>
      <c r="Z16" s="643"/>
      <c r="AA16" s="643">
        <f>Y16</f>
        <v>0.01</v>
      </c>
    </row>
    <row r="17" spans="2:36" hidden="1">
      <c r="B17" s="160" t="s">
        <v>550</v>
      </c>
      <c r="C17" s="46" t="s">
        <v>551</v>
      </c>
      <c r="D17" s="160" t="s">
        <v>544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R17" s="167"/>
      <c r="S17" s="643">
        <v>1.04</v>
      </c>
      <c r="T17" s="643"/>
      <c r="U17" s="1154">
        <v>1.036</v>
      </c>
      <c r="V17" s="1154"/>
      <c r="W17" s="1154"/>
      <c r="X17" s="643"/>
      <c r="Y17" s="643">
        <v>1.04</v>
      </c>
      <c r="Z17" s="643"/>
      <c r="AA17" s="643">
        <v>1.04</v>
      </c>
    </row>
    <row r="18" spans="2:36" hidden="1">
      <c r="B18" s="160" t="s">
        <v>552</v>
      </c>
      <c r="C18" s="46" t="s">
        <v>553</v>
      </c>
      <c r="D18" s="160" t="s">
        <v>544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656"/>
      <c r="R18" s="167"/>
      <c r="S18" s="643"/>
      <c r="T18" s="643"/>
      <c r="U18" s="1154"/>
      <c r="V18" s="1154"/>
      <c r="W18" s="1154"/>
      <c r="X18" s="643"/>
      <c r="Y18" s="643"/>
      <c r="Z18" s="643"/>
      <c r="AA18" s="643"/>
    </row>
    <row r="19" spans="2:36">
      <c r="B19" s="158" t="s">
        <v>32</v>
      </c>
      <c r="C19" s="164" t="s">
        <v>554</v>
      </c>
      <c r="D19" s="160" t="s">
        <v>544</v>
      </c>
      <c r="E19" s="165">
        <f>'К ВС'!F18</f>
        <v>99221.137437240002</v>
      </c>
      <c r="F19" s="165">
        <f>'К ВС'!G18</f>
        <v>89004.966489000013</v>
      </c>
      <c r="G19" s="165">
        <f>'К ВС'!H18</f>
        <v>96985.123200000002</v>
      </c>
      <c r="H19" s="165">
        <f>'К ВС'!I18</f>
        <v>85528.462427999999</v>
      </c>
      <c r="I19" s="166">
        <v>103386.13</v>
      </c>
      <c r="J19" s="166">
        <f>'К ВС'!K18</f>
        <v>89513.111502600004</v>
      </c>
      <c r="K19" s="165">
        <f>K22*K21</f>
        <v>90849.80187184563</v>
      </c>
      <c r="L19" s="165"/>
      <c r="M19" s="166">
        <f>'К ВС'!L18</f>
        <v>105015.211814471</v>
      </c>
      <c r="N19" s="165">
        <f>'К ВС'!N324</f>
        <v>125555.68150020801</v>
      </c>
      <c r="O19" s="165">
        <f>'К ВС'!N18</f>
        <v>99451.700528768008</v>
      </c>
      <c r="P19" s="165">
        <f>'К ВС'!S18</f>
        <v>109072.12</v>
      </c>
      <c r="Q19" s="636">
        <f>Q21*Q22</f>
        <v>90138.072166706173</v>
      </c>
      <c r="R19" s="165">
        <f>'К ВС'!V18</f>
        <v>128034.08271049999</v>
      </c>
      <c r="S19" s="639">
        <f>S21*S22</f>
        <v>93538.250559153385</v>
      </c>
      <c r="T19" s="639">
        <f>'К ВС'!W18</f>
        <v>140475.9225556</v>
      </c>
      <c r="U19" s="1206">
        <f>U21*U22</f>
        <v>116918.88720554049</v>
      </c>
      <c r="V19" s="1206"/>
      <c r="W19" s="1206">
        <f>'Корректировка ВС'!G21</f>
        <v>117770.43382771879</v>
      </c>
      <c r="X19" s="639">
        <f>'К ВС'!Y60</f>
        <v>154525.803999</v>
      </c>
      <c r="Y19" s="639">
        <f>Y21*Y22</f>
        <v>121336.72239413514</v>
      </c>
      <c r="Z19" s="639">
        <f>'К ВС'!AA18</f>
        <v>170006.52425799999</v>
      </c>
      <c r="AA19" s="639">
        <f>AA21*AA22</f>
        <v>125925.25968563877</v>
      </c>
    </row>
    <row r="20" spans="2:36" hidden="1">
      <c r="B20" s="160"/>
      <c r="C20" s="171" t="s">
        <v>555</v>
      </c>
      <c r="D20" s="160"/>
      <c r="E20" s="167"/>
      <c r="F20" s="167"/>
      <c r="G20" s="167"/>
      <c r="H20" s="167"/>
      <c r="I20" s="172">
        <v>0.63200000000000001</v>
      </c>
      <c r="J20" s="172">
        <f>J22/J49</f>
        <v>0.56782053570977675</v>
      </c>
      <c r="K20" s="167">
        <f>I20</f>
        <v>0.63200000000000001</v>
      </c>
      <c r="L20" s="167"/>
      <c r="M20" s="172">
        <f>M22/M49</f>
        <v>0.63176954745811986</v>
      </c>
      <c r="N20" s="172">
        <f>N22/N49</f>
        <v>0.56839723355444072</v>
      </c>
      <c r="O20" s="172">
        <f>O22/O46</f>
        <v>0.75578756819798887</v>
      </c>
      <c r="P20" s="172">
        <f>P22/P46</f>
        <v>0.71060637516874581</v>
      </c>
      <c r="Q20" s="170">
        <v>0.56799999999999995</v>
      </c>
      <c r="R20" s="172">
        <f>'К ВС'!V17</f>
        <v>0.56899999999999995</v>
      </c>
      <c r="S20" s="643">
        <f>Q20</f>
        <v>0.56799999999999995</v>
      </c>
      <c r="T20" s="172">
        <f>T22/T46</f>
        <v>0.75053444849233686</v>
      </c>
      <c r="U20" s="1154">
        <f>S20</f>
        <v>0.56799999999999995</v>
      </c>
      <c r="V20" s="1154"/>
      <c r="W20" s="1154"/>
      <c r="X20" s="172">
        <f>X22/X46</f>
        <v>0.7431904512844314</v>
      </c>
      <c r="Y20" s="643">
        <f>U20</f>
        <v>0.56799999999999995</v>
      </c>
      <c r="Z20" s="172">
        <f>Z22/Z46</f>
        <v>0.73596683657488204</v>
      </c>
      <c r="AA20" s="643">
        <f>Y20</f>
        <v>0.56799999999999995</v>
      </c>
    </row>
    <row r="21" spans="2:36" hidden="1">
      <c r="B21" s="160"/>
      <c r="C21" s="171" t="s">
        <v>556</v>
      </c>
      <c r="D21" s="160"/>
      <c r="E21" s="167"/>
      <c r="F21" s="167"/>
      <c r="G21" s="167"/>
      <c r="H21" s="167"/>
      <c r="I21" s="167">
        <v>3.3047492308446058</v>
      </c>
      <c r="J21" s="173">
        <f>J19/J22</f>
        <v>3.3795804211412652</v>
      </c>
      <c r="K21" s="167">
        <f>J21</f>
        <v>3.3795804211412652</v>
      </c>
      <c r="L21" s="167"/>
      <c r="M21" s="173">
        <f>M19/M22</f>
        <v>3.358047492364618</v>
      </c>
      <c r="N21" s="173">
        <f>N19/N22</f>
        <v>4.7154483039259789</v>
      </c>
      <c r="O21" s="173">
        <f>O19/O22</f>
        <v>3.6444319392908491</v>
      </c>
      <c r="P21" s="173">
        <f>P19/P22</f>
        <v>4.3185532957400419</v>
      </c>
      <c r="Q21" s="168">
        <v>3.5853968687887678</v>
      </c>
      <c r="R21" s="643">
        <f>'К ВС'!V18/'К ВС'!V20</f>
        <v>4.6769274290069767</v>
      </c>
      <c r="S21" s="167">
        <f>Q21*S23</f>
        <v>3.6929587748524311</v>
      </c>
      <c r="T21" s="643">
        <f>T19/T22</f>
        <v>5.1445325854549866</v>
      </c>
      <c r="U21" s="1154">
        <f>'Корректировка ВС'!G24</f>
        <v>4.5815531914506114</v>
      </c>
      <c r="V21" s="1154"/>
      <c r="W21" s="1154"/>
      <c r="X21" s="643">
        <f>'К ВС'!Y18/'К ВС'!Y20</f>
        <v>5.6584067722784805</v>
      </c>
      <c r="Y21" s="643">
        <f>U21*Y23</f>
        <v>4.7189997871941296</v>
      </c>
      <c r="Z21" s="643">
        <f>Z19/Z22</f>
        <v>6.2241382977547168</v>
      </c>
      <c r="AA21" s="643">
        <f>Y21*AA23</f>
        <v>4.8605697808099535</v>
      </c>
    </row>
    <row r="22" spans="2:36" hidden="1">
      <c r="B22" s="160"/>
      <c r="C22" s="171" t="s">
        <v>557</v>
      </c>
      <c r="D22" s="160"/>
      <c r="E22" s="167"/>
      <c r="F22" s="167"/>
      <c r="G22" s="167"/>
      <c r="H22" s="167"/>
      <c r="I22" s="167">
        <v>31284.10744</v>
      </c>
      <c r="J22" s="167">
        <f>'[8]расшифровки ВС'!J100</f>
        <v>26486.456999999999</v>
      </c>
      <c r="K22" s="167">
        <f>K20*K49</f>
        <v>26881.976621573089</v>
      </c>
      <c r="L22" s="167"/>
      <c r="M22" s="167">
        <f>'[8]расшифровки ВС'!K100</f>
        <v>31272.7</v>
      </c>
      <c r="N22" s="167">
        <f>'[8]расшифровки ВС'!L100</f>
        <v>26626.456999999999</v>
      </c>
      <c r="O22" s="167">
        <v>27288.67</v>
      </c>
      <c r="P22" s="167">
        <f>'К ВС'!S22</f>
        <v>25256.633999999998</v>
      </c>
      <c r="Q22" s="638">
        <v>25140.333264461446</v>
      </c>
      <c r="R22" s="167">
        <f>'К ВС'!V20</f>
        <v>27375.683000000001</v>
      </c>
      <c r="S22" s="167">
        <f>S20*S49</f>
        <v>25328.809841071441</v>
      </c>
      <c r="T22" s="167">
        <f>'К ВС'!W20</f>
        <v>27305.867000000002</v>
      </c>
      <c r="U22" s="1155">
        <f>U20*U49</f>
        <v>25519.487021064495</v>
      </c>
      <c r="V22" s="1155"/>
      <c r="W22" s="1155"/>
      <c r="X22" s="167">
        <f>'К ВС'!Y20</f>
        <v>27309.065999999999</v>
      </c>
      <c r="Y22" s="167">
        <f>Y20*Y49</f>
        <v>25712.381408323978</v>
      </c>
      <c r="Z22" s="167">
        <f>'К ВС'!AA20</f>
        <v>27314.065999999999</v>
      </c>
      <c r="AA22" s="167">
        <f>AA20*AA49</f>
        <v>25907.509893758772</v>
      </c>
      <c r="AE22" s="1200" t="s">
        <v>1473</v>
      </c>
      <c r="AF22" s="1200"/>
      <c r="AG22" s="146" t="s">
        <v>697</v>
      </c>
    </row>
    <row r="23" spans="2:36" hidden="1">
      <c r="B23" s="160"/>
      <c r="C23" s="171" t="s">
        <v>558</v>
      </c>
      <c r="D23" s="160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167">
        <f>R21/P21</f>
        <v>1.0829847656668834</v>
      </c>
      <c r="S23" s="643">
        <f>'[8]Прогнозные индексы'!G9/100</f>
        <v>1.03</v>
      </c>
      <c r="T23" s="643">
        <f>T21/R21</f>
        <v>1.099981272650898</v>
      </c>
      <c r="U23" s="1154">
        <f>'[8]Прогнозные индексы'!H9/100</f>
        <v>1.03</v>
      </c>
      <c r="V23" s="1154"/>
      <c r="W23" s="1154"/>
      <c r="X23" s="643"/>
      <c r="Y23" s="643">
        <f>'[8]Прогнозные индексы'!I9/100</f>
        <v>1.03</v>
      </c>
      <c r="Z23" s="643"/>
      <c r="AA23" s="643">
        <f>'[8]Прогнозные индексы'!J9/100</f>
        <v>1.03</v>
      </c>
      <c r="AE23" s="1335" t="s">
        <v>1512</v>
      </c>
      <c r="AF23" s="1200"/>
      <c r="AH23" s="1335" t="s">
        <v>1514</v>
      </c>
      <c r="AI23" s="1200"/>
      <c r="AJ23" s="146" t="s">
        <v>1515</v>
      </c>
    </row>
    <row r="24" spans="2:36" ht="28.5" customHeight="1">
      <c r="B24" s="158" t="s">
        <v>34</v>
      </c>
      <c r="C24" s="164" t="s">
        <v>1306</v>
      </c>
      <c r="D24" s="160" t="s">
        <v>544</v>
      </c>
      <c r="E24" s="165">
        <v>61720.103200000005</v>
      </c>
      <c r="F24" s="165">
        <v>68232.973899999997</v>
      </c>
      <c r="G24" s="165">
        <v>77885.686874999999</v>
      </c>
      <c r="H24" s="165">
        <v>107786.89034630002</v>
      </c>
      <c r="I24" s="166">
        <v>118789.68954125</v>
      </c>
      <c r="J24" s="166">
        <v>114764.52361000002</v>
      </c>
      <c r="K24" s="165">
        <v>114111.97565264002</v>
      </c>
      <c r="L24" s="165"/>
      <c r="M24" s="166">
        <v>111004.35</v>
      </c>
      <c r="N24" s="165">
        <v>99334.485747434446</v>
      </c>
      <c r="O24" s="165">
        <f>'К ВС'!N323+'К ВС'!N78+'К ВС'!N79+'К ВС'!N80+'К ВС'!N82+'К ВС'!N85</f>
        <v>113359.38087197601</v>
      </c>
      <c r="P24" s="165">
        <f>'К ВС'!S323+'К ВС'!S78+'К ВС'!S80+'К ВС'!S81</f>
        <v>130533.25088230001</v>
      </c>
      <c r="Q24" s="636">
        <v>91473.771480535928</v>
      </c>
      <c r="R24" s="165">
        <f>'К ВС'!V78+'К ВС'!V80+'К ВС'!V81+'К ВС'!V102+'К ВС'!V169+'К ВС'!V182</f>
        <v>144910.16442738788</v>
      </c>
      <c r="S24" s="644">
        <v>93231.184045292379</v>
      </c>
      <c r="T24" s="639">
        <f>'К ВС'!W323+'К ВС'!W78+'К ВС'!W79+'К ВС'!W80+'К ВС'!W81</f>
        <v>138614.79993521821</v>
      </c>
      <c r="U24" s="1153">
        <f>AI24</f>
        <v>113574.08527917851</v>
      </c>
      <c r="V24" s="1153"/>
      <c r="W24" s="1153">
        <f>'Корректировка ВС'!G20</f>
        <v>113574.08527917851</v>
      </c>
      <c r="X24" s="639">
        <f>'К ВС'!Y323+'К ВС'!Y78+'К ВС'!Y79+'К ВС'!Y80+'К ВС'!Y81</f>
        <v>131896.91801314297</v>
      </c>
      <c r="Y24" s="644">
        <v>95900.963830454028</v>
      </c>
      <c r="Z24" s="639">
        <f>'К ВС'!AA323+'К ВС'!AA78+'К ВС'!AA79+'К ВС'!AA80+'К ВС'!AA81</f>
        <v>125436.80188714719</v>
      </c>
      <c r="AA24" s="644">
        <v>97357.225784653536</v>
      </c>
      <c r="AE24" s="1203" t="s">
        <v>1475</v>
      </c>
      <c r="AF24" s="1204">
        <f>AF25+AF26+AF27+AF28+AF29+AF30+AF31</f>
        <v>138614.79939960781</v>
      </c>
      <c r="AH24" s="1203" t="s">
        <v>1475</v>
      </c>
      <c r="AI24" s="1204">
        <f>AI25+AI26+AI27+AI28+AI29+AI30+AI31</f>
        <v>113574.08527917851</v>
      </c>
      <c r="AJ24" s="1337">
        <f>AI24-AF24</f>
        <v>-25040.7141204293</v>
      </c>
    </row>
    <row r="25" spans="2:36">
      <c r="B25" s="160" t="s">
        <v>559</v>
      </c>
      <c r="C25" s="46" t="s">
        <v>560</v>
      </c>
      <c r="D25" s="160" t="s">
        <v>544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656"/>
      <c r="R25" s="167"/>
      <c r="S25" s="643"/>
      <c r="T25" s="643"/>
      <c r="U25" s="1154"/>
      <c r="V25" s="1154"/>
      <c r="W25" s="1154"/>
      <c r="X25" s="643"/>
      <c r="Y25" s="643"/>
      <c r="Z25" s="643"/>
      <c r="AA25" s="643"/>
      <c r="AE25" s="1201" t="s">
        <v>1474</v>
      </c>
      <c r="AF25" s="1202">
        <f>'К ВС'!W102</f>
        <v>20728.765952165748</v>
      </c>
      <c r="AH25" s="1201" t="s">
        <v>1474</v>
      </c>
      <c r="AI25" s="1202">
        <v>4932.8500000000004</v>
      </c>
      <c r="AJ25" s="1202">
        <f>AI25-AF25</f>
        <v>-15795.915952165748</v>
      </c>
    </row>
    <row r="26" spans="2:36">
      <c r="B26" s="160" t="s">
        <v>561</v>
      </c>
      <c r="C26" s="46" t="s">
        <v>562</v>
      </c>
      <c r="D26" s="160" t="s">
        <v>544</v>
      </c>
      <c r="E26" s="167">
        <f>'К ВС'!F102</f>
        <v>15270.54</v>
      </c>
      <c r="F26" s="167">
        <f>'К ВС'!G102</f>
        <v>17600.579999999998</v>
      </c>
      <c r="G26" s="167">
        <f>'К ВС'!H102</f>
        <v>22829.94</v>
      </c>
      <c r="H26" s="167">
        <f>'К ВС'!I102</f>
        <v>26249.050000000003</v>
      </c>
      <c r="I26" s="167">
        <f>'К ВС'!J102</f>
        <v>26541</v>
      </c>
      <c r="J26" s="167">
        <f>'К ВС'!K102</f>
        <v>33011.599896084976</v>
      </c>
      <c r="K26" s="167"/>
      <c r="L26" s="167"/>
      <c r="M26" s="167">
        <f>'К ВС'!L102</f>
        <v>28188.520000000004</v>
      </c>
      <c r="N26" s="167">
        <f>'К ВС'!M102</f>
        <v>30957.685221966371</v>
      </c>
      <c r="O26" s="167">
        <f>'К ВС'!N102</f>
        <v>26026.774000000001</v>
      </c>
      <c r="P26" s="167">
        <f>'К ВС'!S102</f>
        <v>26767.884999999998</v>
      </c>
      <c r="Q26" s="656">
        <v>4869.3369610808331</v>
      </c>
      <c r="R26" s="167">
        <f>'К ВС'!V102</f>
        <v>24348.79092767751</v>
      </c>
      <c r="S26" s="643">
        <f>'[8]НР ВС'!P40</f>
        <v>4205.9340480836854</v>
      </c>
      <c r="T26" s="643">
        <f>'К ВС'!W102</f>
        <v>20728.765952165748</v>
      </c>
      <c r="U26" s="1170">
        <f>AI25</f>
        <v>4932.8500000000004</v>
      </c>
      <c r="V26" s="1170"/>
      <c r="W26" s="1170"/>
      <c r="X26" s="643">
        <f>'К ВС'!Y102</f>
        <v>16783.127203807609</v>
      </c>
      <c r="Y26" s="643">
        <f>'[8]НР ВС'!T40</f>
        <v>4602.9122191239885</v>
      </c>
      <c r="Z26" s="643">
        <f>'К ВС'!AA102</f>
        <v>9294.6301137258579</v>
      </c>
      <c r="AA26" s="643">
        <f>'[8]НР ВС'!V40</f>
        <v>4814.1127509385524</v>
      </c>
      <c r="AE26" s="1201" t="s">
        <v>1476</v>
      </c>
      <c r="AF26" s="1202">
        <f>'К ВС'!W169</f>
        <v>1193.1481682635742</v>
      </c>
      <c r="AH26" s="1201" t="s">
        <v>1476</v>
      </c>
      <c r="AI26" s="1202">
        <f>'К ВС'!Z169</f>
        <v>296.38</v>
      </c>
      <c r="AJ26" s="1202">
        <f t="shared" ref="AJ26:AJ31" si="2">AI26-AF26</f>
        <v>-896.76816826357424</v>
      </c>
    </row>
    <row r="27" spans="2:36">
      <c r="B27" s="160"/>
      <c r="C27" s="46"/>
      <c r="D27" s="160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656"/>
      <c r="R27" s="167"/>
      <c r="S27" s="643"/>
      <c r="T27" s="643"/>
      <c r="U27" s="1154"/>
      <c r="V27" s="1154"/>
      <c r="W27" s="1154"/>
      <c r="X27" s="643"/>
      <c r="Y27" s="643"/>
      <c r="Z27" s="643"/>
      <c r="AA27" s="643"/>
      <c r="AE27" s="1333" t="s">
        <v>1139</v>
      </c>
      <c r="AF27" s="1334">
        <v>5114.9347063424993</v>
      </c>
      <c r="AG27" s="224"/>
      <c r="AH27" s="1333" t="s">
        <v>1139</v>
      </c>
      <c r="AI27" s="1334">
        <v>5114.9347063424993</v>
      </c>
      <c r="AJ27" s="1202">
        <f t="shared" si="2"/>
        <v>0</v>
      </c>
    </row>
    <row r="28" spans="2:36">
      <c r="B28" s="158" t="s">
        <v>37</v>
      </c>
      <c r="C28" s="164" t="s">
        <v>1313</v>
      </c>
      <c r="D28" s="160" t="s">
        <v>544</v>
      </c>
      <c r="E28" s="165">
        <f>'К ВС'!F171</f>
        <v>34140.699999999997</v>
      </c>
      <c r="F28" s="165">
        <f>'К ВС'!G171</f>
        <v>51827.579999999994</v>
      </c>
      <c r="G28" s="165">
        <f>'К ВС'!H171</f>
        <v>49381.31</v>
      </c>
      <c r="H28" s="165">
        <f>'К ВС'!I171</f>
        <v>66414.78</v>
      </c>
      <c r="I28" s="166">
        <f>'К ВС'!J171</f>
        <v>103295.09999999999</v>
      </c>
      <c r="J28" s="166">
        <v>96694.682409999994</v>
      </c>
      <c r="K28" s="165">
        <f>J28</f>
        <v>96694.682409999994</v>
      </c>
      <c r="L28" s="165"/>
      <c r="M28" s="166">
        <f>'К ВС'!L171</f>
        <v>119471.34</v>
      </c>
      <c r="N28" s="165">
        <f>'К ВС'!M171</f>
        <v>92575.848799999992</v>
      </c>
      <c r="O28" s="165">
        <f>'К ВС'!N172</f>
        <v>88365.23</v>
      </c>
      <c r="P28" s="165">
        <f>'К ВС'!S172</f>
        <v>125823.81</v>
      </c>
      <c r="Q28" s="636">
        <v>96694.68</v>
      </c>
      <c r="R28" s="165">
        <f>'К ВС'!V172</f>
        <v>137577.09</v>
      </c>
      <c r="S28" s="639">
        <f>Q28</f>
        <v>96694.68</v>
      </c>
      <c r="T28" s="639">
        <f>'К ВС'!W171</f>
        <v>140121.85999999999</v>
      </c>
      <c r="U28" s="1341">
        <v>96694.68</v>
      </c>
      <c r="V28" s="1341"/>
      <c r="W28" s="1341">
        <f>'Корректировка ВС'!G25</f>
        <v>96694.68</v>
      </c>
      <c r="X28" s="639">
        <f>'К ВС'!Y172</f>
        <v>143345.66</v>
      </c>
      <c r="Y28" s="639">
        <f>U28</f>
        <v>96694.68</v>
      </c>
      <c r="Z28" s="639">
        <f>'К ВС'!AA171</f>
        <v>145553.16999999998</v>
      </c>
      <c r="AA28" s="639">
        <f>Y28</f>
        <v>96694.68</v>
      </c>
      <c r="AE28" s="1201" t="s">
        <v>1477</v>
      </c>
      <c r="AF28" s="1202">
        <v>4372.5947948000012</v>
      </c>
      <c r="AH28" s="1201" t="s">
        <v>1477</v>
      </c>
      <c r="AI28" s="1202">
        <v>4372.5947948000012</v>
      </c>
      <c r="AJ28" s="1202">
        <f t="shared" si="2"/>
        <v>0</v>
      </c>
    </row>
    <row r="29" spans="2:36">
      <c r="B29" s="158" t="s">
        <v>143</v>
      </c>
      <c r="C29" s="164" t="s">
        <v>563</v>
      </c>
      <c r="D29" s="160" t="s">
        <v>544</v>
      </c>
      <c r="E29" s="165">
        <f>SUM(E30:E31)</f>
        <v>21118</v>
      </c>
      <c r="F29" s="165">
        <f t="shared" ref="F29:AA29" si="3">SUM(F30:F31)</f>
        <v>2195.92</v>
      </c>
      <c r="G29" s="165">
        <f t="shared" si="3"/>
        <v>14381</v>
      </c>
      <c r="H29" s="165">
        <f t="shared" si="3"/>
        <v>8558.0499999999993</v>
      </c>
      <c r="I29" s="166">
        <v>4751</v>
      </c>
      <c r="J29" s="166">
        <f t="shared" si="3"/>
        <v>2138.36</v>
      </c>
      <c r="K29" s="166">
        <f t="shared" si="3"/>
        <v>4090.6103208277959</v>
      </c>
      <c r="L29" s="165"/>
      <c r="M29" s="166">
        <f t="shared" si="3"/>
        <v>2755</v>
      </c>
      <c r="N29" s="165">
        <f t="shared" si="3"/>
        <v>2245.2780000000002</v>
      </c>
      <c r="O29" s="165">
        <f t="shared" si="3"/>
        <v>4358.5526790000031</v>
      </c>
      <c r="P29" s="165">
        <f t="shared" si="3"/>
        <v>2335.0891200000005</v>
      </c>
      <c r="Q29" s="636">
        <v>2335.0891200000005</v>
      </c>
      <c r="R29" s="165">
        <f>'К ВС'!V210</f>
        <v>2428.4926848000005</v>
      </c>
      <c r="S29" s="639">
        <f t="shared" si="3"/>
        <v>2428.4899999999998</v>
      </c>
      <c r="T29" s="639">
        <f>'К ВС'!W210</f>
        <v>4902.7790007106596</v>
      </c>
      <c r="U29" s="1152">
        <f t="shared" si="3"/>
        <v>5297.728215366933</v>
      </c>
      <c r="V29" s="1152"/>
      <c r="W29" s="1152">
        <f>'Корректировка ВС'!G26</f>
        <v>2647.4182153669326</v>
      </c>
      <c r="X29" s="639">
        <f t="shared" si="3"/>
        <v>5098.8901607390862</v>
      </c>
      <c r="Y29" s="639">
        <f t="shared" si="3"/>
        <v>5530.6949439816108</v>
      </c>
      <c r="Z29" s="639">
        <f t="shared" si="3"/>
        <v>5302.8457671686501</v>
      </c>
      <c r="AA29" s="639">
        <f t="shared" si="3"/>
        <v>2863.4475417408748</v>
      </c>
      <c r="AE29" s="1201" t="s">
        <v>1478</v>
      </c>
      <c r="AF29" s="1202">
        <v>20014.071327499998</v>
      </c>
      <c r="AH29" s="1201" t="s">
        <v>1478</v>
      </c>
      <c r="AI29" s="1202">
        <v>20014.071327499998</v>
      </c>
      <c r="AJ29" s="1202">
        <f t="shared" si="2"/>
        <v>0</v>
      </c>
    </row>
    <row r="30" spans="2:36">
      <c r="B30" s="158" t="s">
        <v>564</v>
      </c>
      <c r="C30" s="46" t="s">
        <v>565</v>
      </c>
      <c r="D30" s="160" t="s">
        <v>544</v>
      </c>
      <c r="E30" s="167">
        <v>18600</v>
      </c>
      <c r="F30" s="167">
        <f>'К ВС'!G212</f>
        <v>0</v>
      </c>
      <c r="G30" s="167">
        <f>'К ВС'!H212</f>
        <v>11921</v>
      </c>
      <c r="H30" s="167">
        <f>'К ВС'!I212</f>
        <v>6042.43</v>
      </c>
      <c r="I30" s="167">
        <f>'К ВС'!J212</f>
        <v>1235.3599999999999</v>
      </c>
      <c r="J30" s="167">
        <f>'К ВС'!K212</f>
        <v>0</v>
      </c>
      <c r="K30" s="167"/>
      <c r="L30" s="167"/>
      <c r="M30" s="167">
        <f>'К ВС'!L212</f>
        <v>0</v>
      </c>
      <c r="N30" s="167">
        <f>'К ВС'!M212</f>
        <v>0</v>
      </c>
      <c r="O30" s="167">
        <v>0</v>
      </c>
      <c r="P30" s="167">
        <v>0</v>
      </c>
      <c r="Q30" s="656">
        <v>0</v>
      </c>
      <c r="R30" s="167">
        <v>0</v>
      </c>
      <c r="S30" s="643">
        <f>'К ВС'!U212</f>
        <v>0</v>
      </c>
      <c r="T30" s="643">
        <v>0</v>
      </c>
      <c r="U30" s="1154">
        <f>'К ВС'!X212</f>
        <v>2650.31</v>
      </c>
      <c r="V30" s="1154"/>
      <c r="W30" s="1154"/>
      <c r="X30" s="643">
        <v>0</v>
      </c>
      <c r="Y30" s="643">
        <f>'К ВС'!Z212</f>
        <v>2777.38</v>
      </c>
      <c r="Z30" s="643">
        <v>0</v>
      </c>
      <c r="AA30" s="643">
        <f>'К ВС'!AB212</f>
        <v>0</v>
      </c>
      <c r="AE30" s="1201" t="s">
        <v>1513</v>
      </c>
      <c r="AF30" s="1202">
        <v>24843.254450536013</v>
      </c>
      <c r="AH30" s="1201" t="s">
        <v>1513</v>
      </c>
      <c r="AI30" s="1202">
        <v>24843.254450536013</v>
      </c>
      <c r="AJ30" s="1202">
        <f t="shared" si="2"/>
        <v>0</v>
      </c>
    </row>
    <row r="31" spans="2:36" ht="35.1" customHeight="1">
      <c r="B31" s="158" t="s">
        <v>566</v>
      </c>
      <c r="C31" s="46" t="s">
        <v>567</v>
      </c>
      <c r="D31" s="160" t="s">
        <v>544</v>
      </c>
      <c r="E31" s="167">
        <v>2518</v>
      </c>
      <c r="F31" s="167">
        <v>2195.92</v>
      </c>
      <c r="G31" s="167">
        <f>'К ВС'!H217</f>
        <v>2460</v>
      </c>
      <c r="H31" s="167">
        <f>'К ВС'!I217</f>
        <v>2515.62</v>
      </c>
      <c r="I31" s="167">
        <f>'К ВС'!J217</f>
        <v>2565</v>
      </c>
      <c r="J31" s="167">
        <f>'К ВС'!K217</f>
        <v>2138.36</v>
      </c>
      <c r="K31" s="167">
        <f>I29/I46*K46</f>
        <v>4090.6103208277959</v>
      </c>
      <c r="L31" s="167"/>
      <c r="M31" s="167">
        <f>'К ВС'!L217</f>
        <v>2755</v>
      </c>
      <c r="N31" s="167">
        <f>'К ВС'!M217</f>
        <v>2245.2780000000002</v>
      </c>
      <c r="O31" s="167">
        <f>'К ВС'!N217</f>
        <v>4358.5526790000031</v>
      </c>
      <c r="P31" s="167">
        <f>'К ВС'!S210</f>
        <v>2335.0891200000005</v>
      </c>
      <c r="Q31" s="656">
        <v>2335.0891200000005</v>
      </c>
      <c r="R31" s="167">
        <f>'К ВС'!T214</f>
        <v>4714.2105776064036</v>
      </c>
      <c r="S31" s="671">
        <v>2428.4899999999998</v>
      </c>
      <c r="T31" s="643">
        <f>'К ВС'!W217</f>
        <v>4902.7790007106596</v>
      </c>
      <c r="U31" s="1154">
        <f>'Корректировка ВС'!G26</f>
        <v>2647.4182153669326</v>
      </c>
      <c r="V31" s="1154"/>
      <c r="W31" s="1154"/>
      <c r="X31" s="643">
        <f>'К ВС'!Y217</f>
        <v>5098.8901607390862</v>
      </c>
      <c r="Y31" s="643">
        <f>U31*Y17</f>
        <v>2753.3149439816102</v>
      </c>
      <c r="Z31" s="643">
        <f>'К ВС'!AA217</f>
        <v>5302.8457671686501</v>
      </c>
      <c r="AA31" s="643">
        <f>Y31*AA17</f>
        <v>2863.4475417408748</v>
      </c>
      <c r="AE31" s="1333" t="s">
        <v>1123</v>
      </c>
      <c r="AF31" s="1334">
        <v>62348.03</v>
      </c>
      <c r="AH31" s="1333" t="s">
        <v>1123</v>
      </c>
      <c r="AI31" s="1334">
        <v>54000</v>
      </c>
      <c r="AJ31" s="1202">
        <f t="shared" si="2"/>
        <v>-8348.0299999999988</v>
      </c>
    </row>
    <row r="32" spans="2:36">
      <c r="B32" s="158" t="s">
        <v>568</v>
      </c>
      <c r="C32" s="46" t="s">
        <v>569</v>
      </c>
      <c r="D32" s="160" t="s">
        <v>353</v>
      </c>
      <c r="E32" s="167">
        <f>E29/(E9+E28)</f>
        <v>3.3646400765200334E-2</v>
      </c>
      <c r="F32" s="167">
        <f t="shared" ref="F32:N32" si="4">F29/(F9+F28)</f>
        <v>3.3405785786119698E-3</v>
      </c>
      <c r="G32" s="167">
        <f t="shared" si="4"/>
        <v>2.0688413611413523E-2</v>
      </c>
      <c r="H32" s="167">
        <f t="shared" si="4"/>
        <v>1.0802804674028613E-2</v>
      </c>
      <c r="I32" s="167">
        <f t="shared" si="4"/>
        <v>5.9057120522728731E-3</v>
      </c>
      <c r="J32" s="167">
        <f t="shared" si="4"/>
        <v>2.6852181322508002E-3</v>
      </c>
      <c r="K32" s="167"/>
      <c r="L32" s="167"/>
      <c r="M32" s="167">
        <f t="shared" si="4"/>
        <v>3.3303061925312226E-3</v>
      </c>
      <c r="N32" s="167">
        <f t="shared" si="4"/>
        <v>2.5539837783763752E-3</v>
      </c>
      <c r="O32" s="167"/>
      <c r="P32" s="174">
        <f>P29/(P9+P28)*100</f>
        <v>0.22803368946930511</v>
      </c>
      <c r="Q32" s="638">
        <v>0.30438312091304381</v>
      </c>
      <c r="R32" s="167">
        <f t="shared" ref="R32:AA32" si="5">R29/(R9+R28)*100</f>
        <v>0.22094664938849509</v>
      </c>
      <c r="S32" s="643">
        <f t="shared" si="5"/>
        <v>0.30862426354104122</v>
      </c>
      <c r="T32" s="643">
        <f t="shared" si="5"/>
        <v>0.41871847817774421</v>
      </c>
      <c r="U32" s="1154">
        <f t="shared" si="5"/>
        <v>0.6288043157724641</v>
      </c>
      <c r="V32" s="1154"/>
      <c r="W32" s="1154"/>
      <c r="X32" s="643">
        <f t="shared" si="5"/>
        <v>0.42422800101492208</v>
      </c>
      <c r="Y32" s="643">
        <f t="shared" si="5"/>
        <v>0.65490262915819963</v>
      </c>
      <c r="Z32" s="643">
        <f t="shared" si="5"/>
        <v>0.4291894042102411</v>
      </c>
      <c r="AA32" s="643">
        <f t="shared" si="5"/>
        <v>0.33055433285698449</v>
      </c>
      <c r="AE32" s="1202"/>
      <c r="AF32" s="1202"/>
      <c r="AH32" s="1202"/>
      <c r="AI32" s="1202"/>
      <c r="AJ32" s="208"/>
    </row>
    <row r="33" spans="2:36">
      <c r="B33" s="160">
        <v>2</v>
      </c>
      <c r="C33" s="164" t="s">
        <v>1303</v>
      </c>
      <c r="D33" s="160" t="s">
        <v>544</v>
      </c>
      <c r="E33" s="165">
        <f>SUM(E35:E42)</f>
        <v>-31648.719999999998</v>
      </c>
      <c r="F33" s="165">
        <f t="shared" ref="F33:N33" si="6">SUM(F35:F42)</f>
        <v>77361.649999999994</v>
      </c>
      <c r="G33" s="165">
        <f t="shared" si="6"/>
        <v>-47314.98</v>
      </c>
      <c r="H33" s="165">
        <f t="shared" si="6"/>
        <v>0</v>
      </c>
      <c r="I33" s="166">
        <f t="shared" si="6"/>
        <v>37524.639999999999</v>
      </c>
      <c r="J33" s="165">
        <f t="shared" si="6"/>
        <v>0</v>
      </c>
      <c r="K33" s="165">
        <f>I33</f>
        <v>37524.639999999999</v>
      </c>
      <c r="L33" s="165"/>
      <c r="M33" s="166">
        <f t="shared" si="6"/>
        <v>16834.949999999997</v>
      </c>
      <c r="N33" s="165">
        <f t="shared" si="6"/>
        <v>0</v>
      </c>
      <c r="O33" s="165"/>
      <c r="P33" s="165">
        <f>P42</f>
        <v>0</v>
      </c>
      <c r="Q33" s="636">
        <v>-38022.9</v>
      </c>
      <c r="R33" s="165"/>
      <c r="S33" s="639">
        <v>14910.76</v>
      </c>
      <c r="T33" s="639">
        <v>33000</v>
      </c>
      <c r="U33" s="1152">
        <f>SUM(U35:U42)</f>
        <v>20607.835078275748</v>
      </c>
      <c r="V33" s="1152"/>
      <c r="W33" s="1152">
        <f>W34+W38+W41+W37+W42</f>
        <v>21355.038126446867</v>
      </c>
      <c r="X33" s="639">
        <v>34164.28</v>
      </c>
      <c r="Y33" s="639">
        <f>SUM(Y35:Y42)</f>
        <v>40270.635574813903</v>
      </c>
      <c r="Z33" s="639">
        <f>SUM(Z35:Z42)</f>
        <v>0</v>
      </c>
      <c r="AA33" s="639">
        <f>SUM(AA35:AA42)</f>
        <v>0</v>
      </c>
      <c r="AE33" s="1202"/>
      <c r="AF33" s="1202"/>
      <c r="AH33" s="1202"/>
      <c r="AI33" s="1202"/>
      <c r="AJ33" s="208"/>
    </row>
    <row r="34" spans="2:36">
      <c r="B34" s="160"/>
      <c r="C34" s="164" t="s">
        <v>1806</v>
      </c>
      <c r="D34" s="160"/>
      <c r="E34" s="165"/>
      <c r="F34" s="165"/>
      <c r="G34" s="165"/>
      <c r="H34" s="165"/>
      <c r="I34" s="166"/>
      <c r="J34" s="165"/>
      <c r="K34" s="165"/>
      <c r="L34" s="165"/>
      <c r="M34" s="166"/>
      <c r="N34" s="165"/>
      <c r="O34" s="165"/>
      <c r="P34" s="165"/>
      <c r="Q34" s="636"/>
      <c r="R34" s="165"/>
      <c r="S34" s="639"/>
      <c r="T34" s="639"/>
      <c r="U34" s="1152"/>
      <c r="V34" s="1152"/>
      <c r="W34" s="1152">
        <f>'Корректировка ВС'!E37</f>
        <v>39454.043048171094</v>
      </c>
      <c r="X34" s="639"/>
      <c r="Y34" s="639"/>
      <c r="Z34" s="639"/>
      <c r="AA34" s="639"/>
      <c r="AE34" s="1202"/>
      <c r="AF34" s="1202"/>
      <c r="AH34" s="1202"/>
      <c r="AI34" s="1202"/>
      <c r="AJ34" s="208"/>
    </row>
    <row r="35" spans="2:36" outlineLevel="1">
      <c r="B35" s="158" t="s">
        <v>198</v>
      </c>
      <c r="C35" s="46" t="s">
        <v>570</v>
      </c>
      <c r="D35" s="160" t="s">
        <v>544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656"/>
      <c r="R35" s="167"/>
      <c r="S35" s="643"/>
      <c r="T35" s="643"/>
      <c r="U35" s="1154"/>
      <c r="V35" s="1154"/>
      <c r="W35" s="1154"/>
      <c r="X35" s="643"/>
      <c r="Y35" s="643"/>
      <c r="Z35" s="643"/>
      <c r="AA35" s="643"/>
      <c r="AE35" s="1202"/>
      <c r="AF35" s="1202"/>
      <c r="AH35" s="1202"/>
      <c r="AI35" s="1202"/>
      <c r="AJ35" s="208"/>
    </row>
    <row r="36" spans="2:36" s="148" customFormat="1" ht="31.5" outlineLevel="1">
      <c r="B36" s="175" t="s">
        <v>202</v>
      </c>
      <c r="C36" s="46" t="s">
        <v>571</v>
      </c>
      <c r="D36" s="176" t="s">
        <v>544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656"/>
      <c r="R36" s="167"/>
      <c r="S36" s="643">
        <v>-1947.44</v>
      </c>
      <c r="T36" s="643"/>
      <c r="U36" s="1154">
        <f>'Корректировка ВС'!G30</f>
        <v>0</v>
      </c>
      <c r="V36" s="1154"/>
      <c r="W36" s="1154"/>
      <c r="X36" s="643"/>
      <c r="Y36" s="643"/>
      <c r="Z36" s="643"/>
      <c r="AA36" s="643"/>
      <c r="AE36" s="1202" t="s">
        <v>1511</v>
      </c>
      <c r="AF36" s="1202">
        <v>4962.8500000000004</v>
      </c>
      <c r="AH36" s="1202" t="s">
        <v>1511</v>
      </c>
      <c r="AI36" s="1202">
        <v>4962.8500000000004</v>
      </c>
      <c r="AJ36" s="1336"/>
    </row>
    <row r="37" spans="2:36" ht="108" customHeight="1" outlineLevel="1">
      <c r="B37" s="158" t="s">
        <v>206</v>
      </c>
      <c r="C37" s="46" t="s">
        <v>431</v>
      </c>
      <c r="D37" s="160" t="s">
        <v>544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656"/>
      <c r="R37" s="167"/>
      <c r="S37" s="643"/>
      <c r="T37" s="643"/>
      <c r="U37" s="1503">
        <f>29129.23+18933.95+11654.17+985.52</f>
        <v>60702.869999999995</v>
      </c>
      <c r="V37" s="1504" t="s">
        <v>1795</v>
      </c>
      <c r="W37" s="1504">
        <v>60702.87</v>
      </c>
      <c r="X37" s="643"/>
      <c r="Y37" s="1504">
        <f>('К ВС'!V10-'К ВС'!U10)+('К ВС'!V18-'К ВС'!U18)+('К ВС'!V172-'К ВС'!U172)+('К ВС'!V184-'К ВС'!U184)</f>
        <v>101153.73049653816</v>
      </c>
      <c r="Z37" s="643"/>
      <c r="AA37" s="1504" t="s">
        <v>1800</v>
      </c>
      <c r="AB37" s="148"/>
    </row>
    <row r="38" spans="2:36" ht="21" outlineLevel="1">
      <c r="B38" s="158" t="s">
        <v>572</v>
      </c>
      <c r="C38" s="46" t="s">
        <v>573</v>
      </c>
      <c r="D38" s="160" t="s">
        <v>544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656"/>
      <c r="R38" s="167"/>
      <c r="S38" s="643"/>
      <c r="T38" s="643"/>
      <c r="U38" s="1503">
        <f>384549.38-470168.16</f>
        <v>-85618.77999999997</v>
      </c>
      <c r="V38" s="1504" t="s">
        <v>1794</v>
      </c>
      <c r="W38" s="1504">
        <f>U38</f>
        <v>-85618.77999999997</v>
      </c>
      <c r="X38" s="643"/>
      <c r="Y38" s="1503">
        <f>-30000-38706.84</f>
        <v>-68706.84</v>
      </c>
      <c r="Z38" s="643"/>
      <c r="AA38" s="1504" t="s">
        <v>1803</v>
      </c>
    </row>
    <row r="39" spans="2:36" ht="21" outlineLevel="1">
      <c r="B39" s="158" t="s">
        <v>574</v>
      </c>
      <c r="C39" s="46" t="s">
        <v>575</v>
      </c>
      <c r="D39" s="160" t="s">
        <v>544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666"/>
      <c r="R39" s="167"/>
      <c r="S39" s="643"/>
      <c r="T39" s="643"/>
      <c r="U39" s="1154"/>
      <c r="V39" s="1154"/>
      <c r="W39" s="1154"/>
      <c r="X39" s="643"/>
      <c r="Y39" s="643"/>
      <c r="Z39" s="643"/>
      <c r="AA39" s="643"/>
    </row>
    <row r="40" spans="2:36" ht="21" outlineLevel="1">
      <c r="B40" s="158" t="s">
        <v>576</v>
      </c>
      <c r="C40" s="46" t="s">
        <v>476</v>
      </c>
      <c r="D40" s="160" t="s">
        <v>544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666"/>
      <c r="R40" s="167"/>
      <c r="S40" s="643"/>
      <c r="T40" s="643"/>
      <c r="U40" s="1154"/>
      <c r="V40" s="1154"/>
      <c r="W40" s="1154"/>
      <c r="X40" s="643"/>
      <c r="Y40" s="643"/>
      <c r="Z40" s="643"/>
      <c r="AA40" s="643"/>
    </row>
    <row r="41" spans="2:36" ht="21" outlineLevel="1">
      <c r="B41" s="158"/>
      <c r="C41" s="46" t="s">
        <v>1399</v>
      </c>
      <c r="D41" s="160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666"/>
      <c r="R41" s="167"/>
      <c r="S41" s="643">
        <v>-1336.63</v>
      </c>
      <c r="T41" s="643"/>
      <c r="U41" s="1503">
        <f>(Q89+Q90)*(-1)</f>
        <v>-30883.094921724256</v>
      </c>
      <c r="V41" s="1504" t="s">
        <v>1796</v>
      </c>
      <c r="W41" s="1504">
        <v>-30883.094921724256</v>
      </c>
      <c r="X41" s="643"/>
      <c r="Y41" s="1503">
        <f>U41</f>
        <v>-30883.094921724256</v>
      </c>
      <c r="Z41" s="643"/>
      <c r="AA41" s="643"/>
      <c r="AB41" s="1509">
        <f>U41+Y41+'Расчет ВО методом индекс ВО'!T41+'Расчет ВО методом индекс ВО'!X41</f>
        <v>-104140.92428108324</v>
      </c>
      <c r="AC41" s="1506" t="s">
        <v>1791</v>
      </c>
    </row>
    <row r="42" spans="2:36" ht="36" customHeight="1" outlineLevel="1">
      <c r="B42" s="158"/>
      <c r="C42" s="189" t="s">
        <v>577</v>
      </c>
      <c r="D42" s="160" t="s">
        <v>544</v>
      </c>
      <c r="E42" s="167">
        <v>-31648.719999999998</v>
      </c>
      <c r="F42" s="167">
        <v>77361.649999999994</v>
      </c>
      <c r="G42" s="167">
        <v>-47314.98</v>
      </c>
      <c r="H42" s="167"/>
      <c r="I42" s="167">
        <v>37524.639999999999</v>
      </c>
      <c r="J42" s="167"/>
      <c r="K42" s="167"/>
      <c r="L42" s="167"/>
      <c r="M42" s="167">
        <v>16834.949999999997</v>
      </c>
      <c r="N42" s="167"/>
      <c r="O42" s="167"/>
      <c r="P42" s="167">
        <v>0</v>
      </c>
      <c r="Q42" s="666"/>
      <c r="R42" s="167"/>
      <c r="S42" s="643">
        <v>30227.83</v>
      </c>
      <c r="T42" s="643"/>
      <c r="U42" s="1503">
        <f>'Расшифровка выпад. расх.2018г'!I10</f>
        <v>76406.839999999982</v>
      </c>
      <c r="V42" s="1504" t="s">
        <v>1797</v>
      </c>
      <c r="W42" s="1504">
        <v>37700</v>
      </c>
      <c r="X42" s="643"/>
      <c r="Y42" s="1537">
        <v>38706.839999999997</v>
      </c>
      <c r="Z42" s="643"/>
      <c r="AA42" s="643"/>
      <c r="AB42" s="1509">
        <f>'Расшифровка выпад. расх.2018г'!G10</f>
        <v>106634.66999999998</v>
      </c>
      <c r="AC42" s="1506" t="s">
        <v>1793</v>
      </c>
    </row>
    <row r="43" spans="2:36" s="180" customFormat="1" ht="12.75" customHeight="1">
      <c r="B43" s="177"/>
      <c r="C43" s="178" t="s">
        <v>578</v>
      </c>
      <c r="D43" s="179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667"/>
      <c r="R43" s="166"/>
      <c r="S43" s="645">
        <v>-43795.74</v>
      </c>
      <c r="T43" s="645"/>
      <c r="U43" s="1156">
        <f>803069.74-871047.74</f>
        <v>-67978</v>
      </c>
      <c r="V43" s="1156"/>
      <c r="W43" s="1156">
        <f>'Корректировка ВС'!F32-59717.35</f>
        <v>-65217.35</v>
      </c>
      <c r="X43" s="645"/>
      <c r="Y43" s="645">
        <f>-88578.11+30000</f>
        <v>-58578.11</v>
      </c>
      <c r="Z43" s="645"/>
      <c r="AA43" s="645">
        <v>9408</v>
      </c>
      <c r="AB43" s="1439">
        <f>SUM(AA43,Y43,U43,S43,Q43)</f>
        <v>-160943.85</v>
      </c>
    </row>
    <row r="44" spans="2:36">
      <c r="B44" s="158" t="s">
        <v>579</v>
      </c>
      <c r="C44" s="159" t="s">
        <v>580</v>
      </c>
      <c r="D44" s="160" t="s">
        <v>581</v>
      </c>
      <c r="E44" s="181">
        <f>E9+E28+E29+E33</f>
        <v>617114.42241421749</v>
      </c>
      <c r="F44" s="181">
        <f>F9+F28+F29+F33+0.02</f>
        <v>736904.79747458606</v>
      </c>
      <c r="G44" s="181">
        <f t="shared" ref="G44:N44" si="7">G9+G28+G29+G33</f>
        <v>662189.40017382801</v>
      </c>
      <c r="H44" s="181">
        <f t="shared" si="7"/>
        <v>800764.35736522486</v>
      </c>
      <c r="I44" s="182">
        <f t="shared" si="7"/>
        <v>846751.02890277072</v>
      </c>
      <c r="J44" s="181">
        <f t="shared" si="7"/>
        <v>798483.34751413786</v>
      </c>
      <c r="K44" s="181">
        <f t="shared" si="7"/>
        <v>822276.17961683427</v>
      </c>
      <c r="L44" s="181">
        <f>K46*I45</f>
        <v>729052.51483924</v>
      </c>
      <c r="M44" s="182">
        <f t="shared" si="7"/>
        <v>846841.21181447082</v>
      </c>
      <c r="N44" s="181">
        <f t="shared" si="7"/>
        <v>881373.02305849607</v>
      </c>
      <c r="O44" s="181">
        <f>O9+O28+O29+O33</f>
        <v>895898.62182144402</v>
      </c>
      <c r="P44" s="181">
        <f>P9+P28+P29+P33</f>
        <v>1026345.6752024217</v>
      </c>
      <c r="Q44" s="668">
        <f>Q9+Q28+Q29+Q33</f>
        <v>731466.79118713923</v>
      </c>
      <c r="R44" s="181">
        <f>R9+R28+R29+R33</f>
        <v>1101559.2971216354</v>
      </c>
      <c r="S44" s="646">
        <f>S9+S28+S29+S33+S43-0.71</f>
        <v>760418.71576125594</v>
      </c>
      <c r="T44" s="181">
        <f>T9+T28+T29+T33</f>
        <v>1208803.8154315534</v>
      </c>
      <c r="U44" s="1157">
        <f>U9+U28+U29+U33+U43</f>
        <v>800435.80989479076</v>
      </c>
      <c r="V44" s="1157"/>
      <c r="W44" s="1157">
        <f>W9+W28+W29+W33+W43</f>
        <v>802144.89956514013</v>
      </c>
      <c r="X44" s="646">
        <f>X9+X28+X29+X33</f>
        <v>1241185.2848114725</v>
      </c>
      <c r="Y44" s="646">
        <f>Y9+Y28+Y29+Y33+Y43</f>
        <v>831729.67044566013</v>
      </c>
      <c r="Z44" s="646">
        <f>Z9+Z28+Z29+Z33</f>
        <v>1240851.9332211118</v>
      </c>
      <c r="AA44" s="646">
        <f>AA9+AA28+AA29+AA33+AA43</f>
        <v>878527.68959189591</v>
      </c>
    </row>
    <row r="45" spans="2:36" ht="12.75" customHeight="1">
      <c r="B45" s="158" t="s">
        <v>582</v>
      </c>
      <c r="C45" s="164" t="s">
        <v>583</v>
      </c>
      <c r="D45" s="160" t="s">
        <v>584</v>
      </c>
      <c r="E45" s="165">
        <f>E44/E46</f>
        <v>15.21141430394179</v>
      </c>
      <c r="F45" s="165">
        <f t="shared" ref="F45:AA45" si="8">F44/F46</f>
        <v>20.777683043586382</v>
      </c>
      <c r="G45" s="165">
        <f t="shared" si="8"/>
        <v>16.245211337558644</v>
      </c>
      <c r="H45" s="165">
        <f t="shared" si="8"/>
        <v>22.63665007551602</v>
      </c>
      <c r="I45" s="165">
        <f t="shared" si="8"/>
        <v>20.51975684627244</v>
      </c>
      <c r="J45" s="165">
        <f t="shared" si="8"/>
        <v>22.473942278905213</v>
      </c>
      <c r="K45" s="165"/>
      <c r="L45" s="165"/>
      <c r="M45" s="165">
        <f t="shared" si="8"/>
        <v>20.52194179822569</v>
      </c>
      <c r="N45" s="165">
        <f>N44/N46</f>
        <v>24.705967092979471</v>
      </c>
      <c r="O45" s="165">
        <f>O44/O46</f>
        <v>24.812826742320492</v>
      </c>
      <c r="P45" s="165">
        <f t="shared" si="8"/>
        <v>28.876681664140669</v>
      </c>
      <c r="Q45" s="669">
        <v>20.631908488007348</v>
      </c>
      <c r="R45" s="165">
        <f>R44/R46</f>
        <v>30.638962148625914</v>
      </c>
      <c r="S45" s="639">
        <f t="shared" si="8"/>
        <v>21.236172761711263</v>
      </c>
      <c r="T45" s="639">
        <f t="shared" si="8"/>
        <v>33.225420198170355</v>
      </c>
      <c r="U45" s="1152">
        <f t="shared" si="8"/>
        <v>22.000936616768247</v>
      </c>
      <c r="V45" s="1152"/>
      <c r="W45" s="1152">
        <f>W44/W46</f>
        <v>22.047912992693597</v>
      </c>
      <c r="X45" s="639">
        <f t="shared" si="8"/>
        <v>33.777685840542247</v>
      </c>
      <c r="Y45" s="639">
        <f>Y44/Y46</f>
        <v>22.769991171970609</v>
      </c>
      <c r="Z45" s="639">
        <f t="shared" si="8"/>
        <v>33.4342705311823</v>
      </c>
      <c r="AA45" s="639">
        <f t="shared" si="8"/>
        <v>23.813034888041528</v>
      </c>
    </row>
    <row r="46" spans="2:36">
      <c r="B46" s="158" t="s">
        <v>585</v>
      </c>
      <c r="C46" s="164" t="s">
        <v>586</v>
      </c>
      <c r="D46" s="160" t="s">
        <v>587</v>
      </c>
      <c r="E46" s="165">
        <v>40569.167999999998</v>
      </c>
      <c r="F46" s="165">
        <v>35466.168000000005</v>
      </c>
      <c r="G46" s="165">
        <v>40762.129000000001</v>
      </c>
      <c r="H46" s="165">
        <v>35374.684623999994</v>
      </c>
      <c r="I46" s="165">
        <v>41265.159</v>
      </c>
      <c r="J46" s="165">
        <v>35529.296000000002</v>
      </c>
      <c r="K46" s="165">
        <v>35529.296000000002</v>
      </c>
      <c r="L46" s="165"/>
      <c r="M46" s="165">
        <v>41265.160000000003</v>
      </c>
      <c r="N46" s="165">
        <v>35674.5</v>
      </c>
      <c r="O46" s="165">
        <v>36106.269999999997</v>
      </c>
      <c r="P46" s="1129">
        <v>35542.368999999999</v>
      </c>
      <c r="Q46" s="636">
        <v>35453.181240904269</v>
      </c>
      <c r="R46" s="644">
        <f>'К ВС'!V335</f>
        <v>35952.892</v>
      </c>
      <c r="S46" s="644">
        <v>35807.71</v>
      </c>
      <c r="T46" s="644">
        <f>'К ВС'!W335</f>
        <v>36381.896999999997</v>
      </c>
      <c r="U46" s="1158">
        <v>36381.896999999997</v>
      </c>
      <c r="V46" s="1158"/>
      <c r="W46" s="1158">
        <v>36381.896999999997</v>
      </c>
      <c r="X46" s="644">
        <f>'К ВС'!Y335</f>
        <v>36745.716999999997</v>
      </c>
      <c r="Y46" s="644">
        <v>36527.448085684911</v>
      </c>
      <c r="Z46" s="644">
        <f>'К ВС'!AA335</f>
        <v>37113.175000000003</v>
      </c>
      <c r="AA46" s="644">
        <v>36892.722566541757</v>
      </c>
    </row>
    <row r="47" spans="2:36">
      <c r="B47" s="160">
        <v>6</v>
      </c>
      <c r="C47" s="46" t="s">
        <v>1308</v>
      </c>
      <c r="D47" s="160" t="s">
        <v>353</v>
      </c>
      <c r="E47" s="167"/>
      <c r="F47" s="167"/>
      <c r="G47" s="183">
        <v>6.7961927336957828E-2</v>
      </c>
      <c r="H47" s="167"/>
      <c r="I47" s="183">
        <v>0.26312649431842861</v>
      </c>
      <c r="J47" s="167"/>
      <c r="K47" s="167"/>
      <c r="L47" s="167"/>
      <c r="M47" s="183">
        <v>0</v>
      </c>
      <c r="N47" s="167"/>
      <c r="O47" s="183">
        <f>O45/M45-1</f>
        <v>0.20908766754546537</v>
      </c>
      <c r="P47" s="183">
        <f>P45/M45-1</f>
        <v>0.40711254071665492</v>
      </c>
      <c r="Q47" s="638">
        <f>Q44/Q46</f>
        <v>20.631908494101683</v>
      </c>
      <c r="R47" s="183">
        <f>R45/P45-1</f>
        <v>6.1027804544234066E-2</v>
      </c>
      <c r="S47" s="643"/>
      <c r="T47" s="183">
        <f>T45/R45-1</f>
        <v>8.4417286623412524E-2</v>
      </c>
      <c r="U47" s="1154"/>
      <c r="V47" s="1154"/>
      <c r="W47" s="1154"/>
      <c r="X47" s="183">
        <f>X45/T45-1</f>
        <v>1.662178052460872E-2</v>
      </c>
      <c r="Y47" s="643"/>
      <c r="Z47" s="183">
        <f>Z45/X45-1</f>
        <v>-1.0166928278661391E-2</v>
      </c>
      <c r="AA47" s="643"/>
    </row>
    <row r="48" spans="2:36">
      <c r="B48" s="160"/>
      <c r="C48" s="164" t="s">
        <v>588</v>
      </c>
      <c r="D48" s="184"/>
      <c r="E48" s="185"/>
      <c r="F48" s="185"/>
      <c r="G48" s="185"/>
      <c r="H48" s="185"/>
      <c r="I48" s="185"/>
      <c r="J48" s="185">
        <v>41265.160000000003</v>
      </c>
      <c r="K48" s="185"/>
      <c r="L48" s="185"/>
      <c r="M48" s="185">
        <v>41265.160000000003</v>
      </c>
      <c r="N48" s="185">
        <v>41265.160000000003</v>
      </c>
      <c r="O48" s="185">
        <v>41265.160000000003</v>
      </c>
      <c r="P48" s="185">
        <v>35453.18</v>
      </c>
      <c r="Q48" s="670"/>
      <c r="R48" s="185">
        <f>S46</f>
        <v>35807.71</v>
      </c>
      <c r="S48" s="647"/>
      <c r="T48" s="647">
        <f>U46</f>
        <v>36381.896999999997</v>
      </c>
      <c r="U48" s="1159">
        <f>U46</f>
        <v>36381.896999999997</v>
      </c>
      <c r="V48" s="1159"/>
      <c r="W48" s="1159"/>
      <c r="X48" s="647">
        <f>Y46</f>
        <v>36527.448085684911</v>
      </c>
      <c r="Y48" s="647"/>
      <c r="Z48" s="647">
        <f>AA46</f>
        <v>36892.722566541757</v>
      </c>
      <c r="AA48" s="647"/>
    </row>
    <row r="49" spans="2:27" hidden="1">
      <c r="B49" s="160"/>
      <c r="C49" s="164" t="s">
        <v>589</v>
      </c>
      <c r="D49" s="184"/>
      <c r="E49" s="185">
        <v>47527.207999999999</v>
      </c>
      <c r="F49" s="185">
        <v>49304.322990000001</v>
      </c>
      <c r="G49" s="185">
        <v>49032.676000000007</v>
      </c>
      <c r="H49" s="185">
        <v>48032.05799999999</v>
      </c>
      <c r="I49" s="185">
        <v>49500.165999999997</v>
      </c>
      <c r="J49" s="185">
        <v>46645.824401000005</v>
      </c>
      <c r="K49" s="185">
        <v>42534.773135400457</v>
      </c>
      <c r="L49" s="188"/>
      <c r="M49" s="188">
        <v>49500.17</v>
      </c>
      <c r="N49" s="188">
        <v>46844.804000000004</v>
      </c>
      <c r="O49" s="188"/>
      <c r="P49" s="188">
        <v>47539.949000000001</v>
      </c>
      <c r="Q49" s="670">
        <v>44261.150113488467</v>
      </c>
      <c r="R49" s="188">
        <v>48173.839000000007</v>
      </c>
      <c r="S49" s="648">
        <v>44592.97507230888</v>
      </c>
      <c r="T49" s="648">
        <v>48404.676000000007</v>
      </c>
      <c r="U49" s="1160">
        <v>44928.674332860028</v>
      </c>
      <c r="V49" s="1160"/>
      <c r="W49" s="1160"/>
      <c r="X49" s="648">
        <v>48924.781000000003</v>
      </c>
      <c r="Y49" s="648">
        <v>45268.277127330948</v>
      </c>
      <c r="Z49" s="648">
        <v>49434.923999999999</v>
      </c>
      <c r="AA49" s="648">
        <v>45611.813193237278</v>
      </c>
    </row>
    <row r="50" spans="2:27" ht="22.5" customHeight="1">
      <c r="B50" s="160"/>
      <c r="C50" s="164" t="s">
        <v>590</v>
      </c>
      <c r="D50" s="160"/>
      <c r="E50" s="167"/>
      <c r="F50" s="167"/>
      <c r="G50" s="167"/>
      <c r="H50" s="167"/>
      <c r="I50" s="167"/>
      <c r="J50" s="167">
        <f>J44/J48</f>
        <v>19.35006062048803</v>
      </c>
      <c r="K50" s="167"/>
      <c r="L50" s="167"/>
      <c r="M50" s="167">
        <v>20.52</v>
      </c>
      <c r="N50" s="167">
        <f>N44/N48</f>
        <v>21.358769069561248</v>
      </c>
      <c r="O50" s="167"/>
      <c r="P50" s="167">
        <f>P44/P48</f>
        <v>28.949326272069861</v>
      </c>
      <c r="Q50" s="656"/>
      <c r="R50" s="167">
        <f>R44/R48</f>
        <v>30.763187512455708</v>
      </c>
      <c r="S50" s="643"/>
      <c r="T50" s="643">
        <f>T44/T48</f>
        <v>33.225420198170355</v>
      </c>
      <c r="U50" s="643">
        <f>U44/U48</f>
        <v>22.000936616768247</v>
      </c>
      <c r="V50" s="643"/>
      <c r="W50" s="643"/>
      <c r="X50" s="643">
        <f>X44/X48</f>
        <v>33.979523614678477</v>
      </c>
      <c r="Y50" s="643">
        <f>Y44/Y46</f>
        <v>22.769991171970609</v>
      </c>
      <c r="Z50" s="643">
        <f>Z44/Z48</f>
        <v>33.634056987337885</v>
      </c>
      <c r="AA50" s="643"/>
    </row>
    <row r="51" spans="2:27">
      <c r="B51" s="160">
        <v>7</v>
      </c>
      <c r="C51" s="189" t="s">
        <v>1309</v>
      </c>
      <c r="D51" s="160" t="s">
        <v>353</v>
      </c>
      <c r="E51" s="167"/>
      <c r="F51" s="167"/>
      <c r="G51" s="183">
        <f>G46/E46-1</f>
        <v>4.7563460014758974E-3</v>
      </c>
      <c r="H51" s="167"/>
      <c r="I51" s="183">
        <f>I46/G46-1</f>
        <v>1.2340621364502313E-2</v>
      </c>
      <c r="J51" s="167"/>
      <c r="K51" s="167"/>
      <c r="L51" s="167">
        <f>K44-L44+L10</f>
        <v>134654.14855887435</v>
      </c>
      <c r="M51" s="183">
        <v>0</v>
      </c>
      <c r="N51" s="183"/>
      <c r="O51" s="183"/>
      <c r="P51" s="183">
        <f>P50/M50-1</f>
        <v>0.41078588070515898</v>
      </c>
      <c r="Q51" s="654"/>
      <c r="R51" s="183">
        <f>R50/P50-1</f>
        <v>6.2656423273513173E-2</v>
      </c>
      <c r="S51" s="655"/>
      <c r="T51" s="655">
        <f>T50/R50-1</f>
        <v>8.0038282272203221E-2</v>
      </c>
      <c r="U51" s="1161"/>
      <c r="V51" s="1161"/>
      <c r="W51" s="1161"/>
      <c r="X51" s="655">
        <f>X50/T50-1</f>
        <v>2.2696580269273792E-2</v>
      </c>
      <c r="Y51" s="655"/>
      <c r="Z51" s="655">
        <f>Z50/X50-1</f>
        <v>-1.0166906142008325E-2</v>
      </c>
      <c r="AA51" s="655"/>
    </row>
    <row r="52" spans="2:27">
      <c r="B52" s="190"/>
      <c r="C52" s="191"/>
      <c r="D52" s="190"/>
      <c r="E52" s="192"/>
      <c r="F52" s="192"/>
      <c r="G52" s="192"/>
      <c r="H52" s="192"/>
      <c r="I52" s="192"/>
      <c r="J52" s="192"/>
      <c r="K52" s="192"/>
      <c r="L52" s="193">
        <f>[8]ОТЧЕТ!B20</f>
        <v>167954.99435186441</v>
      </c>
      <c r="M52" s="192"/>
      <c r="N52" s="192"/>
      <c r="O52" s="193"/>
      <c r="P52" s="193"/>
      <c r="Q52" s="195"/>
      <c r="R52" s="193"/>
      <c r="S52" s="1512"/>
      <c r="T52" s="1513"/>
      <c r="U52" s="1162" t="s">
        <v>614</v>
      </c>
      <c r="V52" s="1162"/>
      <c r="W52" s="1162"/>
      <c r="X52" s="1514"/>
      <c r="Y52" s="1515"/>
      <c r="Z52" s="1342">
        <f>Y50/U50</f>
        <v>1.0349555370572823</v>
      </c>
      <c r="AA52" s="193"/>
    </row>
    <row r="53" spans="2:27">
      <c r="B53" s="190"/>
      <c r="C53" s="685" t="s">
        <v>1316</v>
      </c>
      <c r="D53" s="190"/>
      <c r="E53" s="192"/>
      <c r="F53" s="192"/>
      <c r="G53" s="192"/>
      <c r="H53" s="192"/>
      <c r="I53" s="192"/>
      <c r="J53" s="192"/>
      <c r="K53" s="192"/>
      <c r="L53" s="196">
        <f>L51-L52</f>
        <v>-33300.845792990061</v>
      </c>
      <c r="M53" s="192"/>
      <c r="N53" s="191"/>
      <c r="O53" s="192"/>
      <c r="P53" s="192"/>
      <c r="Q53" s="193"/>
      <c r="R53" s="195"/>
      <c r="S53" s="1516"/>
      <c r="T53" s="1517"/>
      <c r="U53" s="1148">
        <f>U45*1.2</f>
        <v>26.401123940121895</v>
      </c>
    </row>
    <row r="54" spans="2:27">
      <c r="B54" s="190"/>
      <c r="C54" s="191"/>
      <c r="D54" s="190"/>
      <c r="E54" s="192"/>
      <c r="F54" s="192"/>
      <c r="G54" s="192"/>
      <c r="H54" s="192"/>
      <c r="I54" s="192"/>
      <c r="J54" s="192"/>
      <c r="K54" s="192"/>
      <c r="L54" s="196"/>
      <c r="M54" s="649" t="s">
        <v>1274</v>
      </c>
      <c r="N54" s="649"/>
      <c r="O54" s="652">
        <f>O44-'К ВС'!N328</f>
        <v>0</v>
      </c>
      <c r="P54" s="652">
        <f>P44-'К ВС'!S328</f>
        <v>0</v>
      </c>
      <c r="Q54" s="195"/>
      <c r="R54" s="650">
        <f>R44-'К ВС'!V328</f>
        <v>0</v>
      </c>
      <c r="S54" s="650"/>
      <c r="T54" s="650">
        <f>T44-'К ВС'!W328</f>
        <v>0</v>
      </c>
      <c r="U54" s="1205">
        <v>26.9</v>
      </c>
      <c r="V54" s="1205"/>
      <c r="W54" s="1205"/>
      <c r="X54" s="650">
        <f>X44-'К ВС'!Y328</f>
        <v>0</v>
      </c>
      <c r="Y54" s="650"/>
      <c r="Z54" s="650">
        <f>Z44-'К ВС'!AA332</f>
        <v>0</v>
      </c>
      <c r="AA54" s="651"/>
    </row>
    <row r="55" spans="2:27">
      <c r="B55" s="190"/>
      <c r="C55" s="191"/>
      <c r="D55" s="190"/>
      <c r="E55" s="192"/>
      <c r="F55" s="192"/>
      <c r="G55" s="192"/>
      <c r="H55" s="192"/>
      <c r="I55" s="192"/>
      <c r="J55" s="192"/>
      <c r="K55" s="192"/>
      <c r="L55" s="196"/>
      <c r="M55" s="649" t="s">
        <v>1275</v>
      </c>
      <c r="N55" s="649"/>
      <c r="O55" s="652">
        <f>O45-'К ВС'!N342</f>
        <v>0</v>
      </c>
      <c r="P55" s="652">
        <f>P45-'К ВС'!S342</f>
        <v>0</v>
      </c>
      <c r="Q55" s="650"/>
      <c r="R55" s="650">
        <f>R45-'К ВС'!V342</f>
        <v>0</v>
      </c>
      <c r="S55" s="650"/>
      <c r="T55" s="650">
        <f>T45-'К ВС'!W342</f>
        <v>0</v>
      </c>
      <c r="U55" s="1163"/>
      <c r="V55" s="1163"/>
      <c r="W55" s="1163"/>
      <c r="X55" s="651">
        <f>X45-'К ВС'!Y342</f>
        <v>0</v>
      </c>
      <c r="Y55" s="651"/>
      <c r="Z55" s="651">
        <f>Z45-'К ВС'!AA342</f>
        <v>0</v>
      </c>
      <c r="AA55" s="651"/>
    </row>
    <row r="56" spans="2:27">
      <c r="B56" s="190"/>
      <c r="C56" s="191"/>
      <c r="D56" s="190"/>
      <c r="E56" s="192"/>
      <c r="F56" s="192"/>
      <c r="G56" s="192"/>
      <c r="H56" s="192"/>
      <c r="I56" s="192"/>
      <c r="J56" s="192"/>
      <c r="K56" s="192"/>
      <c r="L56" s="196"/>
      <c r="M56" s="192"/>
      <c r="N56" s="192"/>
      <c r="O56" s="192"/>
      <c r="P56" s="192"/>
      <c r="Q56" s="194"/>
      <c r="R56" s="195"/>
      <c r="S56" s="195"/>
      <c r="T56" s="210">
        <f>U48*0.5</f>
        <v>18190.948499999999</v>
      </c>
      <c r="U56" s="1166">
        <f>T56</f>
        <v>18190.948499999999</v>
      </c>
      <c r="V56" s="1166">
        <f>T56+U56</f>
        <v>36381.896999999997</v>
      </c>
      <c r="W56" s="1166"/>
      <c r="X56" s="210"/>
      <c r="Y56" s="1368" t="s">
        <v>1535</v>
      </c>
    </row>
    <row r="57" spans="2:27">
      <c r="B57" s="190"/>
      <c r="C57" s="191"/>
      <c r="D57" s="1536">
        <f>U57*1.2</f>
        <v>26.838991182464632</v>
      </c>
      <c r="E57" s="192"/>
      <c r="F57" s="192"/>
      <c r="G57" s="192"/>
      <c r="H57" s="192"/>
      <c r="I57" s="192"/>
      <c r="J57" s="192"/>
      <c r="K57" s="192"/>
      <c r="L57" s="196"/>
      <c r="M57" s="192"/>
      <c r="N57" s="192"/>
      <c r="O57" s="192"/>
      <c r="P57" s="192"/>
      <c r="Q57" s="194"/>
      <c r="R57" s="195"/>
      <c r="S57" s="195"/>
      <c r="T57" s="210">
        <v>21.73</v>
      </c>
      <c r="U57" s="223">
        <f>U73/U56</f>
        <v>22.365825985387193</v>
      </c>
      <c r="V57" s="1495"/>
      <c r="W57" s="1495"/>
      <c r="X57" s="1369">
        <f>U57/T57</f>
        <v>1.0292602846473629</v>
      </c>
      <c r="Y57" s="145">
        <v>3.4</v>
      </c>
    </row>
    <row r="58" spans="2:27" hidden="1">
      <c r="B58" s="190"/>
      <c r="C58" s="191"/>
      <c r="D58" s="190"/>
      <c r="E58" s="192"/>
      <c r="F58" s="192"/>
      <c r="G58" s="192"/>
      <c r="H58" s="192"/>
      <c r="I58" s="192"/>
      <c r="J58" s="192"/>
      <c r="K58" s="192"/>
      <c r="L58" s="196"/>
      <c r="M58" s="192"/>
      <c r="N58" s="192"/>
      <c r="O58" s="192"/>
      <c r="P58" s="192"/>
      <c r="Q58" s="194"/>
      <c r="R58" s="715">
        <f>R45-'К ВС'!V342</f>
        <v>0</v>
      </c>
      <c r="S58" s="715">
        <f>S45-'К ВС'!W342</f>
        <v>-11.989247436459099</v>
      </c>
      <c r="T58" s="223">
        <f>T45-'К ВС'!W342</f>
        <v>0</v>
      </c>
      <c r="U58" s="1166">
        <f>U45-'К ВС'!Y342</f>
        <v>-11.776749223774001</v>
      </c>
      <c r="V58" s="1166"/>
      <c r="W58" s="1166"/>
      <c r="X58" s="223">
        <f>X45-'К ВС'!Y342</f>
        <v>0</v>
      </c>
      <c r="Y58" s="715">
        <f>Y45-'К ВС'!AA342</f>
        <v>-10.66427935921169</v>
      </c>
      <c r="Z58" s="715">
        <f>Z45-'К ВС'!AA342</f>
        <v>0</v>
      </c>
    </row>
    <row r="59" spans="2:27" hidden="1">
      <c r="B59" s="190"/>
      <c r="C59" s="146"/>
      <c r="D59" s="190"/>
      <c r="E59" s="193"/>
      <c r="F59" s="193"/>
      <c r="G59" s="192"/>
      <c r="H59" s="192"/>
      <c r="I59" s="192"/>
      <c r="J59" s="192"/>
      <c r="K59" s="192"/>
      <c r="L59" s="192"/>
      <c r="M59" s="192"/>
      <c r="N59" s="192" t="s">
        <v>591</v>
      </c>
      <c r="O59" s="192"/>
      <c r="P59" s="193">
        <f>P45*1.18</f>
        <v>34.07448436368599</v>
      </c>
      <c r="Q59" s="197">
        <v>24.345652015848668</v>
      </c>
      <c r="R59" s="197">
        <f t="shared" ref="R59:AA59" si="9">R45*1.18</f>
        <v>36.153975335378576</v>
      </c>
      <c r="S59" s="197">
        <f t="shared" si="9"/>
        <v>25.05868385881929</v>
      </c>
      <c r="T59" s="210">
        <f t="shared" si="9"/>
        <v>39.205995833841015</v>
      </c>
      <c r="U59" s="1166">
        <f t="shared" si="9"/>
        <v>25.961105207786531</v>
      </c>
      <c r="V59" s="1166"/>
      <c r="W59" s="1166"/>
      <c r="X59" s="210">
        <f t="shared" si="9"/>
        <v>39.857669291839848</v>
      </c>
      <c r="Y59" s="195">
        <f t="shared" si="9"/>
        <v>26.868589582925317</v>
      </c>
      <c r="Z59" s="195">
        <f t="shared" si="9"/>
        <v>39.452439226795114</v>
      </c>
      <c r="AA59" s="195">
        <f t="shared" si="9"/>
        <v>28.099381167889003</v>
      </c>
    </row>
    <row r="60" spans="2:27" ht="15.75" hidden="1">
      <c r="B60" s="190"/>
      <c r="C60" s="146"/>
      <c r="D60" s="190"/>
      <c r="E60" s="1665" t="s">
        <v>592</v>
      </c>
      <c r="F60" s="1665" t="s">
        <v>593</v>
      </c>
      <c r="G60" s="1667" t="s">
        <v>594</v>
      </c>
      <c r="H60" s="1668"/>
      <c r="I60" s="1669"/>
      <c r="J60" s="1667" t="s">
        <v>595</v>
      </c>
      <c r="K60" s="1668"/>
      <c r="L60" s="1669"/>
      <c r="M60" s="1667" t="s">
        <v>596</v>
      </c>
      <c r="N60" s="1668"/>
      <c r="O60" s="1668"/>
      <c r="P60" s="1669"/>
      <c r="Q60" s="1663" t="s">
        <v>597</v>
      </c>
      <c r="R60" s="1664"/>
      <c r="S60" s="1664"/>
      <c r="T60" s="1659" t="s">
        <v>598</v>
      </c>
      <c r="U60" s="1659"/>
      <c r="V60" s="1659"/>
      <c r="W60" s="1659"/>
      <c r="X60" s="1659"/>
      <c r="Y60" s="1660" t="s">
        <v>599</v>
      </c>
      <c r="Z60" s="1660"/>
      <c r="AA60" s="1661"/>
    </row>
    <row r="61" spans="2:27" ht="24" hidden="1">
      <c r="C61" s="146"/>
      <c r="E61" s="1666"/>
      <c r="F61" s="1666"/>
      <c r="G61" s="199" t="s">
        <v>600</v>
      </c>
      <c r="H61" s="199" t="s">
        <v>601</v>
      </c>
      <c r="I61" s="200" t="s">
        <v>602</v>
      </c>
      <c r="J61" s="199" t="s">
        <v>600</v>
      </c>
      <c r="K61" s="199" t="s">
        <v>601</v>
      </c>
      <c r="L61" s="200" t="s">
        <v>602</v>
      </c>
      <c r="M61" s="199" t="s">
        <v>600</v>
      </c>
      <c r="N61" s="199" t="s">
        <v>601</v>
      </c>
      <c r="O61" s="199"/>
      <c r="P61" s="200" t="s">
        <v>602</v>
      </c>
      <c r="Q61" s="201" t="s">
        <v>600</v>
      </c>
      <c r="R61" s="201" t="s">
        <v>601</v>
      </c>
      <c r="S61" s="1172" t="s">
        <v>602</v>
      </c>
      <c r="T61" s="202" t="s">
        <v>600</v>
      </c>
      <c r="U61" s="1165" t="s">
        <v>601</v>
      </c>
      <c r="V61" s="1165"/>
      <c r="W61" s="1165"/>
      <c r="X61" s="203" t="s">
        <v>602</v>
      </c>
      <c r="Y61" s="1174" t="s">
        <v>600</v>
      </c>
      <c r="Z61" s="202" t="s">
        <v>601</v>
      </c>
      <c r="AA61" s="203" t="s">
        <v>602</v>
      </c>
    </row>
    <row r="62" spans="2:27" hidden="1">
      <c r="C62" s="146"/>
      <c r="E62" s="204" t="s">
        <v>556</v>
      </c>
      <c r="F62" s="205" t="s">
        <v>136</v>
      </c>
      <c r="G62" s="206">
        <v>20.52</v>
      </c>
      <c r="H62" s="207">
        <f>ROUND(H64/H63,2)</f>
        <v>20.52</v>
      </c>
      <c r="I62" s="208">
        <f>ROUND(I64/I63,2)</f>
        <v>20.52</v>
      </c>
      <c r="J62" s="209">
        <f>H62</f>
        <v>20.52</v>
      </c>
      <c r="K62" s="210">
        <f>ROUND(K64/K63,2)</f>
        <v>20.74</v>
      </c>
      <c r="L62" s="208">
        <f>ROUND(L64/L63,2)</f>
        <v>20.63</v>
      </c>
      <c r="M62" s="209">
        <f>K62</f>
        <v>20.74</v>
      </c>
      <c r="N62" s="210">
        <f>ROUND(N64/N63,2)</f>
        <v>21.73</v>
      </c>
      <c r="O62" s="210"/>
      <c r="P62" s="208">
        <f>ROUND(P64/P63,2)</f>
        <v>21.24</v>
      </c>
      <c r="Q62" s="211">
        <v>21.73</v>
      </c>
      <c r="R62" s="212">
        <f>ROUND(R64/R63,2)</f>
        <v>22.53</v>
      </c>
      <c r="S62" s="1173">
        <f>ROUND(S64/S63,2)</f>
        <v>22.13</v>
      </c>
      <c r="T62" s="209">
        <f>R62</f>
        <v>22.53</v>
      </c>
      <c r="U62" s="1166">
        <f>ROUND(U64/U63,2)</f>
        <v>23.01</v>
      </c>
      <c r="V62" s="1166"/>
      <c r="W62" s="1166"/>
      <c r="X62" s="210">
        <f>ROUND(X64/X63,2)</f>
        <v>22.77</v>
      </c>
      <c r="Y62" s="1175">
        <f>U62</f>
        <v>23.01</v>
      </c>
      <c r="Z62" s="210">
        <f>ROUND(Z64/Z63,2)</f>
        <v>24.62</v>
      </c>
      <c r="AA62" s="210">
        <f>ROUND(AA64/AA63,2)</f>
        <v>23.81</v>
      </c>
    </row>
    <row r="63" spans="2:27" hidden="1">
      <c r="C63" s="146"/>
      <c r="E63" s="204" t="s">
        <v>603</v>
      </c>
      <c r="F63" s="205" t="s">
        <v>604</v>
      </c>
      <c r="G63" s="213">
        <f>M46/2</f>
        <v>20632.580000000002</v>
      </c>
      <c r="H63" s="209">
        <f>G63</f>
        <v>20632.580000000002</v>
      </c>
      <c r="I63" s="210">
        <f>H63+G63</f>
        <v>41265.160000000003</v>
      </c>
      <c r="J63" s="214">
        <f>Q46/2</f>
        <v>17726.590620452134</v>
      </c>
      <c r="K63" s="209">
        <f>J63</f>
        <v>17726.590620452134</v>
      </c>
      <c r="L63" s="210">
        <f>K63+J63</f>
        <v>35453.181240904269</v>
      </c>
      <c r="M63" s="214">
        <f>S46/2</f>
        <v>17903.855</v>
      </c>
      <c r="N63" s="209">
        <f>M63</f>
        <v>17903.855</v>
      </c>
      <c r="O63" s="209"/>
      <c r="P63" s="210">
        <f>N63+M63</f>
        <v>35807.71</v>
      </c>
      <c r="Q63" s="215">
        <v>18082.895091923223</v>
      </c>
      <c r="R63" s="211">
        <f>Q63</f>
        <v>18082.895091923223</v>
      </c>
      <c r="S63" s="1173">
        <f>R63+Q63</f>
        <v>36165.790183846446</v>
      </c>
      <c r="T63" s="214">
        <f>Y46/2</f>
        <v>18263.724042842456</v>
      </c>
      <c r="U63" s="1167">
        <f>T63</f>
        <v>18263.724042842456</v>
      </c>
      <c r="V63" s="1167"/>
      <c r="W63" s="1167"/>
      <c r="X63" s="210">
        <f>U63+T63</f>
        <v>36527.448085684911</v>
      </c>
      <c r="Y63" s="1176">
        <f>AA46/2</f>
        <v>18446.361283270879</v>
      </c>
      <c r="Z63" s="209">
        <f>Y63</f>
        <v>18446.361283270879</v>
      </c>
      <c r="AA63" s="210">
        <f>Z63+Y63</f>
        <v>36892.722566541757</v>
      </c>
    </row>
    <row r="64" spans="2:27" hidden="1">
      <c r="C64" s="146"/>
      <c r="E64" s="204" t="s">
        <v>605</v>
      </c>
      <c r="F64" s="205" t="s">
        <v>606</v>
      </c>
      <c r="G64" s="209">
        <f>G63*G62</f>
        <v>423380.54160000006</v>
      </c>
      <c r="H64" s="209">
        <f>M44-G64</f>
        <v>423460.67021447077</v>
      </c>
      <c r="I64" s="210">
        <f>H64+G64</f>
        <v>846841.21181447082</v>
      </c>
      <c r="J64" s="209">
        <f>J63*J62</f>
        <v>363749.63953167776</v>
      </c>
      <c r="K64" s="209">
        <f>Q44-J64</f>
        <v>367717.15165546146</v>
      </c>
      <c r="L64" s="210">
        <f>K64+J64</f>
        <v>731466.79118713923</v>
      </c>
      <c r="M64" s="209">
        <f>M63*M62</f>
        <v>371325.95269999997</v>
      </c>
      <c r="N64" s="209">
        <f>S44-M64</f>
        <v>389092.76306125597</v>
      </c>
      <c r="O64" s="209"/>
      <c r="P64" s="210">
        <f>N64+M64</f>
        <v>760418.71576125594</v>
      </c>
      <c r="Q64" s="211">
        <v>392941.31034749164</v>
      </c>
      <c r="R64" s="211">
        <f>U44-Q64</f>
        <v>407494.49954729911</v>
      </c>
      <c r="S64" s="1173">
        <f>R64+Q64</f>
        <v>800435.80989479076</v>
      </c>
      <c r="T64" s="209">
        <f>T63*T62</f>
        <v>411481.70268524054</v>
      </c>
      <c r="U64" s="1167">
        <f>Y44-T64</f>
        <v>420247.96776041959</v>
      </c>
      <c r="V64" s="1167"/>
      <c r="W64" s="1167"/>
      <c r="X64" s="210">
        <f>U64+T64</f>
        <v>831729.67044566013</v>
      </c>
      <c r="Y64" s="1175">
        <f>Y63*Y62</f>
        <v>424450.77312806295</v>
      </c>
      <c r="Z64" s="209">
        <f>AA44-Y64</f>
        <v>454076.91646383295</v>
      </c>
      <c r="AA64" s="210">
        <f>Z64+Y64</f>
        <v>878527.68959189591</v>
      </c>
    </row>
    <row r="65" spans="5:31" hidden="1">
      <c r="E65" s="217" t="s">
        <v>607</v>
      </c>
      <c r="F65" s="218"/>
      <c r="G65" s="208"/>
      <c r="H65" s="219">
        <f>H62/G62</f>
        <v>1</v>
      </c>
      <c r="I65" s="208"/>
      <c r="J65" s="220">
        <f>(20.74-K62)*K63</f>
        <v>0</v>
      </c>
      <c r="K65" s="221">
        <f>K62/J62</f>
        <v>1.0107212475633527</v>
      </c>
      <c r="L65" s="208"/>
      <c r="M65" s="220">
        <f>(21.73-N62)*N63</f>
        <v>0</v>
      </c>
      <c r="N65" s="221">
        <f>N62/M62</f>
        <v>1.0477338476374156</v>
      </c>
      <c r="O65" s="221"/>
      <c r="P65" s="222"/>
      <c r="Q65" s="223">
        <v>1989.1184601115442</v>
      </c>
      <c r="R65" s="221">
        <f>R62/Q62</f>
        <v>1.0368154624942476</v>
      </c>
      <c r="S65" s="1173"/>
      <c r="T65" s="223">
        <f>(23.31-U62)*U63</f>
        <v>5479.117212852685</v>
      </c>
      <c r="U65" s="1168">
        <f>U62/T62</f>
        <v>1.0213049267643142</v>
      </c>
      <c r="V65" s="1168"/>
      <c r="W65" s="1168"/>
      <c r="X65" s="210"/>
      <c r="Y65" s="1177">
        <f>(23.71-Z62)*Z63</f>
        <v>-16786.188767776501</v>
      </c>
      <c r="Z65" s="221">
        <f>Z62/Y62</f>
        <v>1.0699695784441547</v>
      </c>
      <c r="AA65" s="210"/>
    </row>
    <row r="66" spans="5:31" hidden="1">
      <c r="T66" s="210"/>
      <c r="U66" s="1166"/>
      <c r="V66" s="1166"/>
      <c r="W66" s="1166"/>
      <c r="X66" s="210"/>
    </row>
    <row r="67" spans="5:31" hidden="1">
      <c r="J67" s="224">
        <f>ROUND(J62*1.2,2)</f>
        <v>24.62</v>
      </c>
      <c r="K67" s="224">
        <f>ROUND(K62*1.2,2)</f>
        <v>24.89</v>
      </c>
      <c r="M67" s="224">
        <f>ROUND(M62*1.2,2)</f>
        <v>24.89</v>
      </c>
      <c r="N67" s="224">
        <f>ROUND(N62*1.2,2)</f>
        <v>26.08</v>
      </c>
      <c r="O67" s="224"/>
      <c r="Q67" s="145">
        <v>26.08</v>
      </c>
      <c r="R67" s="145">
        <f>ROUND(R62*1.2,2)</f>
        <v>27.04</v>
      </c>
      <c r="T67" s="210">
        <f>ROUND(T62*1.2,2)</f>
        <v>27.04</v>
      </c>
      <c r="U67" s="1166">
        <f>ROUND(U62*1.2,2)</f>
        <v>27.61</v>
      </c>
      <c r="V67" s="1166"/>
      <c r="W67" s="1166"/>
      <c r="X67" s="210"/>
      <c r="Y67" s="145">
        <f>ROUND(Y62*1.2,2)</f>
        <v>27.61</v>
      </c>
      <c r="Z67" s="145">
        <f>ROUND(Z62*1.2,2)</f>
        <v>29.54</v>
      </c>
    </row>
    <row r="68" spans="5:31" hidden="1">
      <c r="T68" s="210"/>
      <c r="U68" s="1166"/>
      <c r="V68" s="1166"/>
      <c r="W68" s="1166"/>
      <c r="X68" s="210"/>
    </row>
    <row r="69" spans="5:31" hidden="1">
      <c r="P69" s="146">
        <f>(L62*1.03-P62)*P63</f>
        <v>318.68861900002054</v>
      </c>
      <c r="S69" s="146">
        <f>(P62*1.04-S62)*S63</f>
        <v>-1461.0979234273318</v>
      </c>
      <c r="T69" s="210"/>
      <c r="U69" s="1166"/>
      <c r="V69" s="1166"/>
      <c r="W69" s="1166"/>
      <c r="X69" s="210"/>
    </row>
    <row r="70" spans="5:31" hidden="1">
      <c r="T70" s="210"/>
      <c r="U70" s="1166"/>
      <c r="V70" s="1166"/>
      <c r="W70" s="1166"/>
      <c r="X70" s="210"/>
    </row>
    <row r="71" spans="5:31" hidden="1">
      <c r="O71" s="224"/>
      <c r="T71" s="210"/>
      <c r="U71" s="1166"/>
      <c r="V71" s="1166"/>
      <c r="W71" s="1166"/>
      <c r="X71" s="210"/>
    </row>
    <row r="72" spans="5:31" hidden="1">
      <c r="Q72" s="225">
        <v>87776.014916529079</v>
      </c>
      <c r="R72" s="225">
        <f>R44*0.12</f>
        <v>132187.11565459624</v>
      </c>
      <c r="S72" s="225">
        <f>S44*0.12</f>
        <v>91250.245891350714</v>
      </c>
      <c r="T72" s="210"/>
      <c r="U72" s="1166"/>
      <c r="V72" s="1166"/>
      <c r="W72" s="1166"/>
      <c r="X72" s="210"/>
    </row>
    <row r="73" spans="5:31">
      <c r="P73" s="461"/>
      <c r="Q73" s="1146"/>
      <c r="R73" s="1147"/>
      <c r="S73" s="1147"/>
      <c r="T73" s="252">
        <f>T56*T57</f>
        <v>395289.31090499996</v>
      </c>
      <c r="U73" s="1178">
        <f>V73-T73</f>
        <v>406855.58866014017</v>
      </c>
      <c r="V73" s="1494">
        <f>W44</f>
        <v>802144.89956514013</v>
      </c>
      <c r="W73" s="1494"/>
      <c r="X73" s="210"/>
    </row>
    <row r="74" spans="5:31">
      <c r="P74" s="461"/>
      <c r="Q74" s="1146"/>
      <c r="R74" s="1147"/>
      <c r="S74" s="1147"/>
      <c r="T74" s="252"/>
      <c r="U74" s="1500">
        <f>U57/T57</f>
        <v>1.0292602846473629</v>
      </c>
      <c r="V74" s="1179"/>
      <c r="W74" s="1179"/>
      <c r="X74" s="210"/>
    </row>
    <row r="75" spans="5:31">
      <c r="P75" s="461"/>
      <c r="Q75" s="1146"/>
      <c r="R75" s="1147"/>
      <c r="S75" s="1147"/>
      <c r="T75" s="1147">
        <f>U57/T57*100</f>
        <v>102.92602846473629</v>
      </c>
      <c r="U75" s="1169">
        <f>U54/1.2</f>
        <v>22.416666666666668</v>
      </c>
      <c r="V75" s="1169"/>
      <c r="W75" s="1169"/>
      <c r="X75" s="210">
        <f>Y46/2</f>
        <v>18263.724042842456</v>
      </c>
      <c r="Y75" s="1166">
        <f>X75</f>
        <v>18263.724042842456</v>
      </c>
      <c r="Z75" s="210"/>
      <c r="AB75" s="210">
        <f>AA46/2</f>
        <v>18446.361283270879</v>
      </c>
      <c r="AC75" s="1166">
        <f>AB75</f>
        <v>18446.361283270879</v>
      </c>
      <c r="AD75" s="210"/>
      <c r="AE75" s="145"/>
    </row>
    <row r="76" spans="5:31">
      <c r="P76" s="461"/>
      <c r="Q76" s="1146"/>
      <c r="R76" s="1147"/>
      <c r="S76" s="1147"/>
      <c r="T76" s="1147"/>
      <c r="U76" s="1169">
        <f>U56*U75</f>
        <v>407780.42887499998</v>
      </c>
      <c r="V76" s="1169"/>
      <c r="W76" s="1169"/>
      <c r="X76" s="210">
        <f>U57</f>
        <v>22.365825985387193</v>
      </c>
      <c r="Y76" s="223">
        <f>Y77/Y75</f>
        <v>23.174156358554026</v>
      </c>
      <c r="Z76" s="1369">
        <f>Y76/X76</f>
        <v>1.0361413154915431</v>
      </c>
      <c r="AA76" s="1501">
        <f>Y76/X76</f>
        <v>1.0361413154915431</v>
      </c>
      <c r="AB76" s="210">
        <f>Y76</f>
        <v>23.174156358554026</v>
      </c>
      <c r="AC76" s="223">
        <f>AC77/AC75</f>
        <v>24.451913417529031</v>
      </c>
      <c r="AD76" s="1502">
        <f>AC76/AB76</f>
        <v>1.0551371553382725</v>
      </c>
      <c r="AE76" s="1496"/>
    </row>
    <row r="77" spans="5:31">
      <c r="P77" s="461"/>
      <c r="Q77" s="1146"/>
      <c r="R77" s="1147"/>
      <c r="S77" s="1147"/>
      <c r="T77" s="1147"/>
      <c r="U77" s="1169">
        <f>U73-U76</f>
        <v>-924.84021485981066</v>
      </c>
      <c r="V77" s="1169"/>
      <c r="W77" s="1169"/>
      <c r="X77" s="252">
        <f>X75*X76</f>
        <v>408483.27378734661</v>
      </c>
      <c r="Y77" s="1178">
        <f>Y44-X77</f>
        <v>423246.39665831352</v>
      </c>
      <c r="Z77" s="210"/>
      <c r="AB77" s="252">
        <f>AB75*AB76</f>
        <v>427478.86062489665</v>
      </c>
      <c r="AC77" s="1178">
        <f>AA44-AB77</f>
        <v>451048.82896699925</v>
      </c>
      <c r="AD77" s="210"/>
      <c r="AE77" s="145"/>
    </row>
    <row r="78" spans="5:31">
      <c r="P78" s="461"/>
      <c r="Q78" s="1146"/>
      <c r="R78" s="1147"/>
      <c r="S78" s="1147"/>
      <c r="T78" s="1147"/>
      <c r="U78" s="1169"/>
      <c r="V78" s="1169"/>
      <c r="W78" s="1169"/>
    </row>
    <row r="79" spans="5:31">
      <c r="P79" s="461"/>
      <c r="Q79" s="1146"/>
      <c r="R79" s="1147"/>
      <c r="S79" s="1147"/>
      <c r="T79" s="1147"/>
      <c r="U79" s="1169"/>
      <c r="V79" s="1169"/>
      <c r="W79" s="1169"/>
    </row>
    <row r="80" spans="5:31">
      <c r="P80" s="461"/>
      <c r="Q80" s="1146"/>
      <c r="R80" s="1147"/>
      <c r="S80" s="1147"/>
      <c r="T80" s="1147"/>
      <c r="U80" s="1169"/>
      <c r="V80" s="1169"/>
      <c r="W80" s="1169"/>
    </row>
    <row r="81" spans="16:37">
      <c r="P81" s="461"/>
      <c r="Q81" s="1146"/>
      <c r="R81" s="1147"/>
      <c r="S81" s="1147"/>
      <c r="T81" s="1147"/>
      <c r="U81" s="1169"/>
      <c r="V81" s="1169"/>
      <c r="W81" s="1169"/>
    </row>
    <row r="82" spans="16:37">
      <c r="P82" s="461"/>
      <c r="Q82" s="1146"/>
      <c r="R82" s="1147"/>
      <c r="S82" s="1147"/>
      <c r="T82" s="1147"/>
      <c r="U82" s="1169"/>
      <c r="V82" s="1169"/>
      <c r="W82" s="1169"/>
    </row>
    <row r="83" spans="16:37">
      <c r="P83" s="1345"/>
      <c r="Q83" s="1346"/>
      <c r="R83" s="1346"/>
      <c r="S83" s="1346"/>
      <c r="T83" s="1346"/>
      <c r="U83" s="1346"/>
      <c r="V83" s="1346"/>
      <c r="W83" s="1346"/>
      <c r="X83" s="1347"/>
      <c r="Y83" s="1348"/>
      <c r="Z83" s="1348"/>
      <c r="AA83" s="1348"/>
      <c r="AB83" s="1348"/>
      <c r="AC83" s="1348"/>
      <c r="AD83" s="1349"/>
      <c r="AE83" s="1349"/>
      <c r="AF83" s="1349"/>
      <c r="AG83" s="1350"/>
      <c r="AH83" s="1350"/>
      <c r="AI83" s="1346"/>
    </row>
    <row r="84" spans="16:37" ht="25.5">
      <c r="P84" s="1351" t="s">
        <v>1260</v>
      </c>
      <c r="Q84" s="1353"/>
      <c r="R84" s="1352"/>
      <c r="S84" s="1352"/>
      <c r="T84" s="1353"/>
      <c r="U84" s="1352"/>
      <c r="V84" s="1352"/>
      <c r="W84" s="1352"/>
      <c r="X84" s="1352"/>
      <c r="Y84" s="1354"/>
      <c r="Z84" s="146"/>
      <c r="AA84" s="146"/>
    </row>
    <row r="85" spans="16:37" ht="45">
      <c r="P85" s="1355" t="s">
        <v>1534</v>
      </c>
      <c r="Q85" s="1358" t="s">
        <v>597</v>
      </c>
      <c r="R85" s="1356" t="s">
        <v>1522</v>
      </c>
      <c r="S85" s="1357" t="s">
        <v>1523</v>
      </c>
      <c r="T85" s="1358" t="s">
        <v>598</v>
      </c>
      <c r="U85" s="1356" t="s">
        <v>1525</v>
      </c>
      <c r="V85" s="1356"/>
      <c r="W85" s="1356"/>
      <c r="X85" s="1357" t="s">
        <v>1526</v>
      </c>
      <c r="Y85" s="1358" t="s">
        <v>599</v>
      </c>
      <c r="Z85" s="146"/>
      <c r="AA85" s="146"/>
    </row>
    <row r="86" spans="16:37">
      <c r="P86" s="1355" t="s">
        <v>1527</v>
      </c>
      <c r="Q86" s="1356">
        <v>21.324219688216232</v>
      </c>
      <c r="R86" s="1358">
        <v>20.918439376432463</v>
      </c>
      <c r="S86" s="1358">
        <v>26.057717461335226</v>
      </c>
      <c r="T86" s="1356">
        <v>23.488078418883845</v>
      </c>
      <c r="U86" s="1358">
        <v>26.057717461335226</v>
      </c>
      <c r="V86" s="1358"/>
      <c r="W86" s="1358"/>
      <c r="X86" s="1358">
        <v>24.742951874456789</v>
      </c>
      <c r="Y86" s="1356">
        <v>25.400334667896008</v>
      </c>
      <c r="Z86" s="146"/>
      <c r="AA86" s="146"/>
    </row>
    <row r="87" spans="16:37" ht="22.5">
      <c r="P87" s="1355" t="s">
        <v>1528</v>
      </c>
      <c r="Q87" s="1356">
        <v>36165.790183846446</v>
      </c>
      <c r="R87" s="1358">
        <v>18263.724042842456</v>
      </c>
      <c r="S87" s="1358">
        <v>18263.724042842456</v>
      </c>
      <c r="T87" s="1356">
        <v>36527.448085684911</v>
      </c>
      <c r="U87" s="1358">
        <v>18446.361283270879</v>
      </c>
      <c r="V87" s="1358"/>
      <c r="W87" s="1358"/>
      <c r="X87" s="1358">
        <v>18446.361283270879</v>
      </c>
      <c r="Y87" s="1356">
        <v>36892.722566541757</v>
      </c>
      <c r="Z87" s="146"/>
      <c r="AA87" s="146"/>
    </row>
    <row r="88" spans="16:37">
      <c r="P88" s="1355" t="s">
        <v>1415</v>
      </c>
      <c r="Q88" s="1359">
        <v>802090.35</v>
      </c>
      <c r="R88" s="1358">
        <v>382048.60417809192</v>
      </c>
      <c r="S88" s="1358">
        <v>475910.96090018383</v>
      </c>
      <c r="T88" s="1359">
        <v>888842.66</v>
      </c>
      <c r="U88" s="1358">
        <v>480670.07050918567</v>
      </c>
      <c r="V88" s="1358"/>
      <c r="W88" s="1358"/>
      <c r="X88" s="1358">
        <v>456417.42949081433</v>
      </c>
      <c r="Y88" s="1359">
        <v>937087.5</v>
      </c>
      <c r="Z88" s="224"/>
      <c r="AA88" s="146"/>
    </row>
    <row r="89" spans="16:37" ht="33.75">
      <c r="P89" s="1355" t="s">
        <v>1529</v>
      </c>
      <c r="Q89" s="1359">
        <v>5573.0744334503552</v>
      </c>
      <c r="R89" s="1358"/>
      <c r="S89" s="1358"/>
      <c r="T89" s="1359">
        <v>5573.0744334503552</v>
      </c>
      <c r="U89" s="1358"/>
      <c r="V89" s="1358"/>
      <c r="W89" s="1358"/>
      <c r="X89" s="1358"/>
      <c r="Y89" s="1359"/>
      <c r="Z89" s="224">
        <v>11146.14886690071</v>
      </c>
      <c r="AA89" s="224">
        <f>Z89+Z90+'Расчет ВО методом индекс ВО'!R98+'Расчет ВО методом индекс ВО'!R99+'Расчет ВО методом индекс ВО'!S98+'Расчет ВО методом индекс ВО'!S99</f>
        <v>104140.92428108324</v>
      </c>
    </row>
    <row r="90" spans="16:37" ht="33.75">
      <c r="P90" s="1355" t="s">
        <v>1530</v>
      </c>
      <c r="Q90" s="1359">
        <v>25310.020488273902</v>
      </c>
      <c r="R90" s="1358"/>
      <c r="S90" s="1358"/>
      <c r="T90" s="1359">
        <v>25310.020488273902</v>
      </c>
      <c r="U90" s="1358"/>
      <c r="V90" s="1358"/>
      <c r="W90" s="1358"/>
      <c r="X90" s="1358"/>
      <c r="Y90" s="1359"/>
      <c r="Z90" s="224">
        <v>50620.040976547803</v>
      </c>
      <c r="AA90" s="146"/>
    </row>
    <row r="91" spans="16:37" ht="33.75">
      <c r="P91" s="1355" t="s">
        <v>1531</v>
      </c>
      <c r="Q91" s="1360">
        <v>0</v>
      </c>
      <c r="R91" s="1358"/>
      <c r="S91" s="1358"/>
      <c r="T91" s="1360">
        <v>0</v>
      </c>
      <c r="U91" s="1358"/>
      <c r="V91" s="1358"/>
      <c r="W91" s="1358"/>
      <c r="X91" s="1358"/>
      <c r="Y91" s="1360">
        <v>0</v>
      </c>
      <c r="Z91" s="146">
        <v>61766.189843448512</v>
      </c>
      <c r="AA91" s="146"/>
    </row>
    <row r="92" spans="16:37" ht="33.75">
      <c r="P92" s="1361" t="s">
        <v>1532</v>
      </c>
      <c r="Q92" s="1356">
        <v>771207.25507827569</v>
      </c>
      <c r="R92" s="1358"/>
      <c r="S92" s="1362"/>
      <c r="T92" s="1356">
        <v>857959.56507827574</v>
      </c>
      <c r="U92" s="1358"/>
      <c r="V92" s="1358"/>
      <c r="W92" s="1358"/>
      <c r="X92" s="1362"/>
      <c r="Y92" s="1366">
        <v>937087.5</v>
      </c>
      <c r="Z92" s="146"/>
      <c r="AA92" s="146"/>
    </row>
    <row r="93" spans="16:37">
      <c r="P93" s="461"/>
      <c r="Q93" s="1146"/>
      <c r="R93" s="1147"/>
      <c r="S93" s="1147"/>
      <c r="T93" s="1147"/>
      <c r="U93" s="1169"/>
      <c r="V93" s="1169"/>
      <c r="W93" s="1169"/>
      <c r="Z93" s="145" t="e">
        <v>#DIV/0!</v>
      </c>
      <c r="AB93" s="146" t="e">
        <v>#DIV/0!</v>
      </c>
      <c r="AC93" s="146" t="e">
        <v>#DIV/0!</v>
      </c>
      <c r="AE93" s="146">
        <v>-3.7347474623448562E-2</v>
      </c>
      <c r="AF93" s="146">
        <v>30883.094921724256</v>
      </c>
      <c r="AH93" s="146">
        <v>0.19722671767120392</v>
      </c>
      <c r="AI93" s="146">
        <v>30883.094921724256</v>
      </c>
      <c r="AK93" s="146">
        <v>-5.0455900016158517E-2</v>
      </c>
    </row>
    <row r="94" spans="16:37">
      <c r="P94" s="461"/>
      <c r="Q94" s="1146"/>
      <c r="R94" s="1147"/>
      <c r="S94" s="1147"/>
      <c r="T94" s="1147"/>
      <c r="U94" s="1169"/>
      <c r="V94" s="1169"/>
      <c r="W94" s="1169"/>
    </row>
    <row r="95" spans="16:37">
      <c r="P95" s="461"/>
      <c r="Q95" s="1146"/>
      <c r="R95" s="1147">
        <v>2022</v>
      </c>
      <c r="S95" s="1450">
        <v>2022</v>
      </c>
      <c r="T95" s="1450"/>
      <c r="U95" s="1450">
        <v>2023</v>
      </c>
      <c r="V95" s="1450"/>
      <c r="W95" s="1450"/>
      <c r="X95" s="1451"/>
      <c r="Y95" s="1451"/>
    </row>
    <row r="96" spans="16:37">
      <c r="P96" s="461"/>
      <c r="Q96" s="1146"/>
      <c r="R96" s="1147" t="s">
        <v>557</v>
      </c>
      <c r="S96" s="1452">
        <f>36745.717*0.5</f>
        <v>18372.858499999998</v>
      </c>
      <c r="T96" s="1452">
        <f>S96</f>
        <v>18372.858499999998</v>
      </c>
      <c r="U96" s="1452"/>
      <c r="V96" s="1452">
        <f>37113.175*0.5</f>
        <v>18556.587500000001</v>
      </c>
      <c r="W96" s="1523"/>
      <c r="X96" s="1453">
        <f>V96</f>
        <v>18556.587500000001</v>
      </c>
      <c r="Y96" s="1451"/>
    </row>
    <row r="97" spans="16:25">
      <c r="P97" s="461"/>
      <c r="Q97" s="1146"/>
      <c r="R97" s="1147" t="s">
        <v>556</v>
      </c>
      <c r="S97" s="1452">
        <f>U57</f>
        <v>22.365825985387193</v>
      </c>
      <c r="T97" s="1452">
        <f>T98/T96</f>
        <v>22.903649662382051</v>
      </c>
      <c r="U97" s="1452"/>
      <c r="V97" s="1452">
        <f>T97</f>
        <v>22.903649662382051</v>
      </c>
      <c r="W97" s="1523"/>
      <c r="X97" s="1453">
        <f>X98/X96</f>
        <v>24.4395210359964</v>
      </c>
      <c r="Y97" s="1451"/>
    </row>
    <row r="98" spans="16:25">
      <c r="P98" s="461"/>
      <c r="Q98" s="1146"/>
      <c r="R98" s="1147" t="s">
        <v>605</v>
      </c>
      <c r="S98" s="1452">
        <f>S96*S97</f>
        <v>410924.15606514196</v>
      </c>
      <c r="T98" s="1452">
        <f>Y44-S98</f>
        <v>420805.51438051817</v>
      </c>
      <c r="U98" s="1452"/>
      <c r="V98" s="1452">
        <f>V96*V97</f>
        <v>425013.57902933803</v>
      </c>
      <c r="W98" s="1523"/>
      <c r="X98" s="1453">
        <f>AA44-V98</f>
        <v>453514.11056255788</v>
      </c>
      <c r="Y98" s="1451"/>
    </row>
    <row r="99" spans="16:25">
      <c r="P99" s="461"/>
      <c r="Q99" s="1146"/>
      <c r="R99" s="1147"/>
      <c r="S99" s="1452"/>
      <c r="T99" s="1452">
        <f>T97/S97</f>
        <v>1.0240466717994787</v>
      </c>
      <c r="U99" s="1452"/>
      <c r="V99" s="1452"/>
      <c r="W99" s="1523"/>
      <c r="X99" s="1453">
        <f>X97/V97</f>
        <v>1.0670579316508202</v>
      </c>
      <c r="Y99" s="1451"/>
    </row>
    <row r="100" spans="16:25">
      <c r="P100" s="461"/>
      <c r="Q100" s="1146"/>
      <c r="R100" s="1147"/>
      <c r="S100" s="1147"/>
      <c r="T100" s="1147">
        <f>S98+T98</f>
        <v>831729.67044566013</v>
      </c>
      <c r="U100" s="1169"/>
      <c r="V100" s="1169"/>
      <c r="W100" s="1169"/>
    </row>
    <row r="101" spans="16:25">
      <c r="P101" s="461"/>
      <c r="Q101" s="1146"/>
      <c r="R101" s="1147"/>
      <c r="S101" s="1147"/>
      <c r="T101" s="1147"/>
      <c r="U101" s="1169"/>
      <c r="V101" s="1169"/>
      <c r="W101" s="1169"/>
    </row>
    <row r="102" spans="16:25">
      <c r="P102" s="461"/>
      <c r="Q102" s="1146"/>
      <c r="R102" s="1147"/>
      <c r="S102" s="1147"/>
      <c r="T102" s="1147"/>
      <c r="U102" s="1169"/>
      <c r="V102" s="1169"/>
      <c r="W102" s="1169"/>
    </row>
    <row r="103" spans="16:25">
      <c r="P103" s="461"/>
      <c r="Q103" s="1146"/>
      <c r="R103" s="1147"/>
      <c r="S103" s="1147"/>
      <c r="T103" s="1147"/>
      <c r="U103" s="1169"/>
      <c r="V103" s="1169"/>
      <c r="W103" s="1169"/>
    </row>
    <row r="104" spans="16:25">
      <c r="P104" s="461"/>
      <c r="Q104" s="1146"/>
      <c r="R104" s="1147"/>
      <c r="S104" s="1147"/>
      <c r="T104" s="1147"/>
      <c r="U104" s="1169"/>
      <c r="V104" s="1169"/>
      <c r="W104" s="1169"/>
    </row>
    <row r="105" spans="16:25">
      <c r="P105" s="461"/>
      <c r="Q105" s="1146"/>
      <c r="R105" s="1147"/>
      <c r="S105" s="1147"/>
      <c r="T105" s="1147"/>
      <c r="U105" s="1169"/>
      <c r="V105" s="1169"/>
      <c r="W105" s="1169"/>
    </row>
    <row r="106" spans="16:25">
      <c r="P106" s="461"/>
      <c r="Q106" s="1146"/>
      <c r="R106" s="1147"/>
      <c r="S106" s="1147"/>
      <c r="T106" s="1147"/>
      <c r="U106" s="1169"/>
      <c r="V106" s="1169"/>
      <c r="W106" s="1169"/>
    </row>
    <row r="107" spans="16:25">
      <c r="P107" s="461"/>
      <c r="Q107" s="1146"/>
      <c r="R107" s="1147"/>
      <c r="S107" s="1147"/>
      <c r="T107" s="1147"/>
      <c r="U107" s="1169"/>
      <c r="V107" s="1169"/>
      <c r="W107" s="1169"/>
    </row>
    <row r="108" spans="16:25">
      <c r="P108" s="461"/>
      <c r="Q108" s="1146"/>
      <c r="R108" s="1147"/>
      <c r="S108" s="1147"/>
      <c r="T108" s="1147"/>
      <c r="U108" s="1169"/>
      <c r="V108" s="1169"/>
      <c r="W108" s="1169"/>
    </row>
    <row r="109" spans="16:25">
      <c r="P109" s="461"/>
      <c r="Q109" s="1146"/>
      <c r="R109" s="1147"/>
      <c r="S109" s="1147"/>
      <c r="T109" s="1147"/>
      <c r="U109" s="1169"/>
      <c r="V109" s="1169"/>
      <c r="W109" s="1169"/>
    </row>
    <row r="110" spans="16:25">
      <c r="P110" s="461"/>
      <c r="Q110" s="1146"/>
      <c r="R110" s="1147"/>
      <c r="S110" s="1147"/>
      <c r="T110" s="1147"/>
      <c r="U110" s="1169"/>
      <c r="V110" s="1169"/>
      <c r="W110" s="1169"/>
    </row>
    <row r="111" spans="16:25">
      <c r="P111" s="461"/>
      <c r="Q111" s="1146"/>
      <c r="R111" s="1147"/>
      <c r="S111" s="1147"/>
      <c r="T111" s="1147"/>
      <c r="U111" s="1169"/>
      <c r="V111" s="1169"/>
      <c r="W111" s="1169"/>
    </row>
    <row r="112" spans="16:25">
      <c r="P112" s="461"/>
      <c r="Q112" s="1146"/>
      <c r="R112" s="1147"/>
      <c r="S112" s="1147"/>
      <c r="T112" s="1147"/>
      <c r="U112" s="1169"/>
      <c r="V112" s="1169"/>
      <c r="W112" s="1169"/>
    </row>
    <row r="113" spans="16:23">
      <c r="P113" s="461"/>
      <c r="Q113" s="1146"/>
      <c r="R113" s="1147"/>
      <c r="S113" s="1147"/>
      <c r="T113" s="1147"/>
      <c r="U113" s="1169"/>
      <c r="V113" s="1169"/>
      <c r="W113" s="1169"/>
    </row>
    <row r="114" spans="16:23">
      <c r="P114" s="192"/>
      <c r="Q114" s="194"/>
      <c r="R114" s="195"/>
      <c r="S114" s="195"/>
      <c r="T114" s="195"/>
      <c r="U114" s="1164"/>
      <c r="V114" s="1164"/>
      <c r="W114" s="1164"/>
    </row>
    <row r="115" spans="16:23">
      <c r="P115" s="192"/>
      <c r="Q115" s="194"/>
      <c r="R115" s="195"/>
      <c r="S115" s="195"/>
      <c r="T115" s="195"/>
      <c r="U115" s="1164"/>
      <c r="V115" s="1164"/>
      <c r="W115" s="1164"/>
    </row>
  </sheetData>
  <mergeCells count="21">
    <mergeCell ref="Z1:AA1"/>
    <mergeCell ref="I5:J5"/>
    <mergeCell ref="P5:Q5"/>
    <mergeCell ref="M5:O5"/>
    <mergeCell ref="B5:B6"/>
    <mergeCell ref="C5:C6"/>
    <mergeCell ref="D5:D6"/>
    <mergeCell ref="E5:F5"/>
    <mergeCell ref="G5:H5"/>
    <mergeCell ref="E60:E61"/>
    <mergeCell ref="F60:F61"/>
    <mergeCell ref="G60:I60"/>
    <mergeCell ref="J60:L60"/>
    <mergeCell ref="M60:P60"/>
    <mergeCell ref="T60:X60"/>
    <mergeCell ref="Y60:AA60"/>
    <mergeCell ref="R5:S5"/>
    <mergeCell ref="T5:U5"/>
    <mergeCell ref="X5:Y5"/>
    <mergeCell ref="Z5:AA5"/>
    <mergeCell ref="Q60:S60"/>
  </mergeCells>
  <pageMargins left="0" right="0" top="0" bottom="0" header="0.31496062992125984" footer="0.31496062992125984"/>
  <pageSetup paperSize="9" scale="6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B2:I53"/>
  <sheetViews>
    <sheetView topLeftCell="A22" workbookViewId="0">
      <selection activeCell="G18" sqref="G18"/>
    </sheetView>
  </sheetViews>
  <sheetFormatPr defaultRowHeight="15"/>
  <cols>
    <col min="2" max="2" width="23" customWidth="1"/>
    <col min="3" max="3" width="12.85546875" customWidth="1"/>
    <col min="4" max="4" width="15" customWidth="1"/>
    <col min="5" max="5" width="15.28515625" customWidth="1"/>
    <col min="6" max="6" width="13.85546875" customWidth="1"/>
    <col min="7" max="7" width="16.7109375" customWidth="1"/>
    <col min="8" max="8" width="10" bestFit="1" customWidth="1"/>
    <col min="9" max="9" width="16.140625" customWidth="1"/>
  </cols>
  <sheetData>
    <row r="2" spans="2:7" ht="18.75">
      <c r="B2" s="1656" t="s">
        <v>1449</v>
      </c>
      <c r="C2" s="1657"/>
      <c r="D2" s="1657"/>
      <c r="E2" s="1657"/>
      <c r="F2" s="1657"/>
      <c r="G2" s="1657"/>
    </row>
    <row r="3" spans="2:7">
      <c r="B3" s="1130"/>
      <c r="C3" s="1130"/>
      <c r="D3" s="1130"/>
      <c r="E3" s="1130"/>
      <c r="F3" s="1130"/>
      <c r="G3" s="1130"/>
    </row>
    <row r="4" spans="2:7">
      <c r="B4" s="1658" t="s">
        <v>1456</v>
      </c>
      <c r="C4" s="1658"/>
      <c r="D4" s="1658"/>
      <c r="E4" s="1658"/>
      <c r="F4" s="1658"/>
      <c r="G4" s="1130"/>
    </row>
    <row r="5" spans="2:7">
      <c r="B5" s="1658"/>
      <c r="C5" s="1658"/>
      <c r="D5" s="1658"/>
      <c r="E5" s="1658"/>
      <c r="F5" s="1658"/>
      <c r="G5" s="1130"/>
    </row>
    <row r="6" spans="2:7">
      <c r="B6" s="1658"/>
      <c r="C6" s="1658"/>
      <c r="D6" s="1658"/>
      <c r="E6" s="1658"/>
      <c r="F6" s="1658"/>
      <c r="G6" s="1130"/>
    </row>
    <row r="7" spans="2:7">
      <c r="B7" s="1658" t="s">
        <v>1457</v>
      </c>
      <c r="C7" s="1658"/>
      <c r="D7" s="1658"/>
      <c r="E7" s="1658"/>
      <c r="F7" s="1658"/>
      <c r="G7" s="1130"/>
    </row>
    <row r="8" spans="2:7">
      <c r="B8" s="1658" t="s">
        <v>1458</v>
      </c>
      <c r="C8" s="1658"/>
      <c r="D8" s="1658"/>
      <c r="E8" s="1658"/>
      <c r="F8" s="1658"/>
      <c r="G8" s="1130"/>
    </row>
    <row r="9" spans="2:7">
      <c r="B9" s="1658" t="s">
        <v>1459</v>
      </c>
      <c r="C9" s="1658"/>
      <c r="D9" s="1658"/>
      <c r="E9" s="1658"/>
      <c r="F9" s="1658"/>
      <c r="G9" s="1130"/>
    </row>
    <row r="10" spans="2:7">
      <c r="B10" s="1658" t="s">
        <v>1460</v>
      </c>
      <c r="C10" s="1658"/>
      <c r="D10" s="1658"/>
      <c r="E10" s="1658"/>
      <c r="F10" s="1658"/>
      <c r="G10" s="1130"/>
    </row>
    <row r="11" spans="2:7">
      <c r="B11" s="1658"/>
      <c r="C11" s="1658"/>
      <c r="D11" s="1658"/>
      <c r="E11" s="1658"/>
      <c r="F11" s="1658"/>
      <c r="G11" s="1130"/>
    </row>
    <row r="12" spans="2:7">
      <c r="B12" s="1658"/>
      <c r="C12" s="1658"/>
      <c r="D12" s="1658"/>
      <c r="E12" s="1658"/>
      <c r="F12" s="1658"/>
      <c r="G12" s="1130"/>
    </row>
    <row r="13" spans="2:7">
      <c r="B13" s="1658"/>
      <c r="C13" s="1658"/>
      <c r="D13" s="1658"/>
      <c r="E13" s="1658"/>
      <c r="F13" s="1658"/>
      <c r="G13" s="1130"/>
    </row>
    <row r="14" spans="2:7">
      <c r="B14" s="1130"/>
      <c r="C14" s="1130"/>
      <c r="D14" s="1130"/>
      <c r="E14" s="1130"/>
      <c r="F14" s="1130"/>
      <c r="G14" s="1130"/>
    </row>
    <row r="15" spans="2:7">
      <c r="B15" s="1131"/>
      <c r="C15" s="1131"/>
      <c r="D15" s="1131"/>
      <c r="E15" s="1131"/>
      <c r="F15" s="1131"/>
      <c r="G15" s="1130"/>
    </row>
    <row r="16" spans="2:7">
      <c r="B16" s="1650" t="s">
        <v>1141</v>
      </c>
      <c r="C16" s="1652" t="s">
        <v>1412</v>
      </c>
      <c r="D16" s="1654">
        <v>2019</v>
      </c>
      <c r="E16" s="1655"/>
      <c r="F16" s="1654">
        <v>2021</v>
      </c>
      <c r="G16" s="1655"/>
    </row>
    <row r="17" spans="2:9">
      <c r="B17" s="1651"/>
      <c r="C17" s="1653"/>
      <c r="D17" s="1132" t="s">
        <v>649</v>
      </c>
      <c r="E17" s="1132" t="s">
        <v>650</v>
      </c>
      <c r="F17" s="1132" t="s">
        <v>649</v>
      </c>
      <c r="G17" s="1132" t="s">
        <v>1413</v>
      </c>
    </row>
    <row r="18" spans="2:9" ht="22.5">
      <c r="B18" s="159" t="s">
        <v>1414</v>
      </c>
      <c r="C18" s="1133" t="s">
        <v>1415</v>
      </c>
      <c r="D18" s="1134">
        <f>D19+D20+D21+D26+D27+D31</f>
        <v>581585.99594517949</v>
      </c>
      <c r="E18" s="1134">
        <f>E19+F20+E21+E27+E26</f>
        <v>611995.03649207298</v>
      </c>
      <c r="F18" s="1134">
        <f>F19+F20+F21+F26+F27+F31+F33</f>
        <v>633198.29999999993</v>
      </c>
      <c r="G18" s="1134">
        <f>G19+G20+G21+G26+G27+F31+F33</f>
        <v>686184.22196836967</v>
      </c>
    </row>
    <row r="19" spans="2:9">
      <c r="B19" s="164" t="s">
        <v>497</v>
      </c>
      <c r="C19" s="1133" t="s">
        <v>1416</v>
      </c>
      <c r="D19" s="422">
        <f>'Расчет ВО методом индекс ВО'!P10</f>
        <v>368287.56695097545</v>
      </c>
      <c r="E19" s="422">
        <f>D19</f>
        <v>368287.56695097545</v>
      </c>
      <c r="F19" s="422">
        <v>388160.49</v>
      </c>
      <c r="G19" s="422">
        <f>D19*1.032*0.99*0.99*1.036</f>
        <v>385919.65654403198</v>
      </c>
      <c r="H19" s="134">
        <f>G19+G20+G21</f>
        <v>566118.41196836974</v>
      </c>
    </row>
    <row r="20" spans="2:9" ht="21">
      <c r="B20" s="164" t="s">
        <v>498</v>
      </c>
      <c r="C20" s="1133" t="s">
        <v>1417</v>
      </c>
      <c r="D20" s="422">
        <f>'Расчет ВО методом индекс ВО'!P24</f>
        <v>46877.838994203979</v>
      </c>
      <c r="E20" s="422">
        <f>'Расчет ВО методом индекс ВО'!O24</f>
        <v>153733.06505209269</v>
      </c>
      <c r="F20" s="422">
        <v>45672.17</v>
      </c>
      <c r="G20" s="422">
        <f>'Расчет ВО методом индекс ВО'!T24</f>
        <v>93274.106604936402</v>
      </c>
    </row>
    <row r="21" spans="2:9" ht="21">
      <c r="B21" s="164" t="s">
        <v>1418</v>
      </c>
      <c r="C21" s="1133" t="s">
        <v>1419</v>
      </c>
      <c r="D21" s="422">
        <v>73407.67</v>
      </c>
      <c r="E21" s="422">
        <f>(49997.593*D24*E25)+(D23*E25*49963.924)</f>
        <v>81810.91021684157</v>
      </c>
      <c r="F21" s="422">
        <v>79443.55</v>
      </c>
      <c r="G21" s="422">
        <f>D23*50039.436*G25+D24*50073.442*G25</f>
        <v>86924.648819401336</v>
      </c>
    </row>
    <row r="22" spans="2:9">
      <c r="B22" s="1135" t="s">
        <v>1420</v>
      </c>
      <c r="C22" s="1133"/>
      <c r="D22" s="422"/>
      <c r="E22" s="422"/>
      <c r="F22" s="422"/>
      <c r="G22" s="422"/>
    </row>
    <row r="23" spans="2:9" ht="47.25" customHeight="1">
      <c r="B23" s="46" t="s">
        <v>1759</v>
      </c>
      <c r="C23" s="1133" t="s">
        <v>40</v>
      </c>
      <c r="D23" s="422">
        <v>0.17899999999999999</v>
      </c>
      <c r="E23" s="422"/>
      <c r="F23" s="422"/>
      <c r="G23" s="1521">
        <v>0.17899999999999999</v>
      </c>
    </row>
    <row r="24" spans="2:9" ht="44.25" customHeight="1">
      <c r="B24" s="1436" t="s">
        <v>1760</v>
      </c>
      <c r="C24" s="1133" t="s">
        <v>40</v>
      </c>
      <c r="D24" s="1437">
        <v>0.23300000000000001</v>
      </c>
      <c r="E24" s="1437"/>
      <c r="F24" s="1437"/>
      <c r="G24" s="1525">
        <v>0.23300000000000001</v>
      </c>
    </row>
    <row r="25" spans="2:9">
      <c r="B25" s="46" t="s">
        <v>1422</v>
      </c>
      <c r="C25" s="1133" t="s">
        <v>81</v>
      </c>
      <c r="D25" s="422">
        <f>'Расчет ВО методом индекс ВО'!P21</f>
        <v>3.4259991580424836</v>
      </c>
      <c r="E25" s="422">
        <f>'Расчет ВО методом индекс ВО'!O21</f>
        <v>3.9727569297632965</v>
      </c>
      <c r="F25" s="422"/>
      <c r="G25" s="422">
        <f>E25*1.03*1.03</f>
        <v>4.2146978267858817</v>
      </c>
    </row>
    <row r="26" spans="2:9">
      <c r="B26" s="164" t="s">
        <v>289</v>
      </c>
      <c r="C26" s="1137" t="s">
        <v>1423</v>
      </c>
      <c r="D26" s="422">
        <f>'Расчет ВО методом индекс ВО'!P27</f>
        <v>114294.35</v>
      </c>
      <c r="E26" s="422">
        <f>D26</f>
        <v>114294.35</v>
      </c>
      <c r="F26" s="422">
        <v>114294.35</v>
      </c>
      <c r="G26" s="422">
        <f>D26</f>
        <v>114294.35</v>
      </c>
    </row>
    <row r="27" spans="2:9" ht="31.5">
      <c r="B27" s="164" t="s">
        <v>1424</v>
      </c>
      <c r="C27" s="1137" t="s">
        <v>1425</v>
      </c>
      <c r="D27" s="422">
        <v>1620.27</v>
      </c>
      <c r="E27" s="422">
        <f>D28*(E19+E20+E21+E26)</f>
        <v>1930.0393242559417</v>
      </c>
      <c r="F27" s="422">
        <v>1752.48</v>
      </c>
      <c r="G27" s="422">
        <f>1896.2</f>
        <v>1896.2</v>
      </c>
    </row>
    <row r="28" spans="2:9" ht="21">
      <c r="B28" s="46" t="s">
        <v>1426</v>
      </c>
      <c r="C28" s="1137" t="s">
        <v>353</v>
      </c>
      <c r="D28" s="1520">
        <f>D27/(D19+D20+D21+D26)</f>
        <v>2.6876058155899372E-3</v>
      </c>
      <c r="E28" s="1520"/>
      <c r="F28" s="1526">
        <f>F27/(F19+F20+F21+F26)</f>
        <v>2.7924828086263323E-3</v>
      </c>
      <c r="G28" s="1520"/>
      <c r="I28">
        <f>G18/99.7*0.3</f>
        <v>2064.7469066249837</v>
      </c>
    </row>
    <row r="29" spans="2:9" ht="31.5">
      <c r="B29" s="1138" t="s">
        <v>1427</v>
      </c>
      <c r="C29" s="1137" t="s">
        <v>976</v>
      </c>
      <c r="D29" s="422">
        <f>D18/D30</f>
        <v>16.404338781146443</v>
      </c>
      <c r="E29" s="422">
        <f>E18/E30</f>
        <v>16.944643766904402</v>
      </c>
      <c r="F29" s="422"/>
      <c r="G29" s="422">
        <f>G18/G30</f>
        <v>19.132119073897421</v>
      </c>
    </row>
    <row r="30" spans="2:9">
      <c r="B30" s="1138" t="s">
        <v>1428</v>
      </c>
      <c r="C30" s="1137" t="s">
        <v>587</v>
      </c>
      <c r="D30" s="422">
        <f>'Расчёт ВС методом индексации'!Q46</f>
        <v>35453.181240904269</v>
      </c>
      <c r="E30" s="422">
        <v>36117.315000000002</v>
      </c>
      <c r="F30" s="422">
        <v>35865.563000000002</v>
      </c>
      <c r="G30" s="422">
        <f>F30</f>
        <v>35865.563000000002</v>
      </c>
    </row>
    <row r="31" spans="2:9">
      <c r="B31" s="159" t="s">
        <v>1809</v>
      </c>
      <c r="C31" s="1133"/>
      <c r="D31" s="286">
        <f>-22901.7</f>
        <v>-22901.7</v>
      </c>
      <c r="E31" s="286"/>
      <c r="F31" s="286">
        <v>-21624.74</v>
      </c>
      <c r="H31" s="286"/>
    </row>
    <row r="32" spans="2:9">
      <c r="B32" s="159" t="s">
        <v>1461</v>
      </c>
      <c r="C32" s="1133"/>
      <c r="D32" s="286"/>
      <c r="E32" s="286"/>
      <c r="F32" s="286"/>
      <c r="G32" s="286"/>
    </row>
    <row r="33" spans="2:7">
      <c r="B33" s="159" t="s">
        <v>578</v>
      </c>
      <c r="C33" s="1133"/>
      <c r="D33" s="286"/>
      <c r="E33" s="286"/>
      <c r="F33" s="286">
        <v>25500</v>
      </c>
      <c r="G33" s="286"/>
    </row>
    <row r="34" spans="2:7">
      <c r="B34" s="1139"/>
      <c r="C34" s="1139"/>
      <c r="D34" s="1139"/>
      <c r="E34" s="1139"/>
      <c r="F34" s="1139"/>
      <c r="G34" s="1139"/>
    </row>
    <row r="35" spans="2:7">
      <c r="B35" s="159" t="s">
        <v>1430</v>
      </c>
      <c r="C35" s="1133"/>
      <c r="D35" s="286"/>
      <c r="E35" s="286"/>
      <c r="F35" s="286"/>
      <c r="G35" s="286"/>
    </row>
    <row r="36" spans="2:7" ht="33.75">
      <c r="B36" s="164" t="s">
        <v>1462</v>
      </c>
      <c r="C36" s="1133" t="s">
        <v>1432</v>
      </c>
      <c r="D36" s="286"/>
      <c r="E36" s="422">
        <f>E30*16.71</f>
        <v>603520.33365000004</v>
      </c>
      <c r="F36" s="286"/>
      <c r="G36" s="286"/>
    </row>
    <row r="37" spans="2:7" ht="21">
      <c r="B37" s="164" t="s">
        <v>1804</v>
      </c>
      <c r="C37" s="1133" t="s">
        <v>1434</v>
      </c>
      <c r="D37" s="286">
        <f>'Расчет ВО методом индекс ВО'!O44</f>
        <v>891579.19717248867</v>
      </c>
      <c r="E37" s="422">
        <f>E18</f>
        <v>611995.03649207298</v>
      </c>
      <c r="F37" s="286"/>
      <c r="G37" s="286"/>
    </row>
    <row r="38" spans="2:7" ht="67.5">
      <c r="B38" s="164" t="s">
        <v>1435</v>
      </c>
      <c r="C38" s="1133" t="s">
        <v>1436</v>
      </c>
      <c r="D38" s="286"/>
      <c r="E38" s="422">
        <f>E37-E36</f>
        <v>8474.702842072933</v>
      </c>
      <c r="F38" s="286"/>
      <c r="G38" s="286"/>
    </row>
    <row r="39" spans="2:7">
      <c r="B39" s="46" t="s">
        <v>1437</v>
      </c>
      <c r="C39" s="1133" t="s">
        <v>353</v>
      </c>
      <c r="D39" s="286"/>
      <c r="E39" s="422">
        <v>3.2</v>
      </c>
      <c r="F39" s="286"/>
      <c r="G39" s="286"/>
    </row>
    <row r="40" spans="2:7">
      <c r="B40" s="46" t="s">
        <v>1438</v>
      </c>
      <c r="C40" s="1133" t="s">
        <v>353</v>
      </c>
      <c r="D40" s="286"/>
      <c r="E40" s="422">
        <v>3.6</v>
      </c>
      <c r="F40" s="286"/>
      <c r="G40" s="286"/>
    </row>
    <row r="41" spans="2:7" ht="56.25">
      <c r="B41" s="1140" t="s">
        <v>1439</v>
      </c>
      <c r="C41" s="1133" t="s">
        <v>1440</v>
      </c>
      <c r="D41" s="286"/>
      <c r="E41" s="286"/>
      <c r="F41" s="286"/>
      <c r="G41" s="1134">
        <f>G18+E38</f>
        <v>694658.92481044261</v>
      </c>
    </row>
    <row r="42" spans="2:7" ht="21">
      <c r="B42" s="1138" t="s">
        <v>1441</v>
      </c>
      <c r="C42" s="1137" t="s">
        <v>976</v>
      </c>
      <c r="D42" s="286"/>
      <c r="E42" s="286"/>
      <c r="F42" s="286"/>
      <c r="G42" s="422">
        <f>G41/G30</f>
        <v>19.368409881379598</v>
      </c>
    </row>
    <row r="43" spans="2:7" ht="31.5">
      <c r="B43" s="1138" t="s">
        <v>1442</v>
      </c>
      <c r="C43" s="1137" t="s">
        <v>587</v>
      </c>
      <c r="D43" s="286"/>
      <c r="E43" s="286"/>
      <c r="F43" s="422">
        <f>F30</f>
        <v>35865.563000000002</v>
      </c>
      <c r="G43" s="422">
        <f>E30</f>
        <v>36117.315000000002</v>
      </c>
    </row>
    <row r="44" spans="2:7" ht="21">
      <c r="B44" s="46" t="s">
        <v>1443</v>
      </c>
      <c r="C44" s="1133" t="s">
        <v>353</v>
      </c>
      <c r="D44" s="286"/>
      <c r="E44" s="286"/>
      <c r="F44" s="286"/>
      <c r="G44" s="422">
        <f>G43/F43*100</f>
        <v>100.70193238009398</v>
      </c>
    </row>
    <row r="45" spans="2:7" ht="31.5">
      <c r="B45" s="46" t="s">
        <v>1444</v>
      </c>
    </row>
    <row r="47" spans="2:7">
      <c r="B47" s="1141" t="s">
        <v>1450</v>
      </c>
      <c r="C47" s="1142" t="s">
        <v>649</v>
      </c>
      <c r="D47" s="1142" t="s">
        <v>650</v>
      </c>
      <c r="E47" s="1142" t="s">
        <v>1451</v>
      </c>
    </row>
    <row r="48" spans="2:7">
      <c r="B48" t="s">
        <v>1452</v>
      </c>
      <c r="C48" s="118"/>
      <c r="D48" s="118"/>
      <c r="E48" s="118">
        <f>C48-D48</f>
        <v>0</v>
      </c>
    </row>
    <row r="49" spans="2:5">
      <c r="B49" t="s">
        <v>1453</v>
      </c>
      <c r="C49" s="118">
        <v>76379.23</v>
      </c>
      <c r="D49" s="118">
        <v>13015.029</v>
      </c>
      <c r="E49" s="118">
        <f>D49-C49</f>
        <v>-63364.200999999994</v>
      </c>
    </row>
    <row r="50" spans="2:5">
      <c r="B50" t="s">
        <v>1121</v>
      </c>
      <c r="C50" s="118">
        <v>105101.3</v>
      </c>
      <c r="D50" s="118">
        <v>58574.9</v>
      </c>
      <c r="E50" s="118">
        <f>D50-C50</f>
        <v>-46526.400000000001</v>
      </c>
    </row>
    <row r="51" spans="2:5">
      <c r="B51" s="1143" t="s">
        <v>1454</v>
      </c>
      <c r="C51" s="1"/>
      <c r="D51" s="1"/>
      <c r="E51" s="1126">
        <f>SUM(E48:E50)</f>
        <v>-109890.601</v>
      </c>
    </row>
    <row r="53" spans="2:5" ht="30">
      <c r="B53" s="1144" t="s">
        <v>1455</v>
      </c>
      <c r="C53" s="1145">
        <f>0*(1-0.01)*(1+0.026)*(1+0)</f>
        <v>0</v>
      </c>
    </row>
  </sheetData>
  <mergeCells count="10">
    <mergeCell ref="B16:B17"/>
    <mergeCell ref="C16:C17"/>
    <mergeCell ref="D16:E16"/>
    <mergeCell ref="F16:G16"/>
    <mergeCell ref="B2:G2"/>
    <mergeCell ref="B4:F6"/>
    <mergeCell ref="B7:F7"/>
    <mergeCell ref="B8:F8"/>
    <mergeCell ref="B9:F9"/>
    <mergeCell ref="B10:F13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2" tint="-0.249977111117893"/>
  </sheetPr>
  <dimension ref="B1:AL112"/>
  <sheetViews>
    <sheetView zoomScaleNormal="100" workbookViewId="0">
      <pane xSplit="4" ySplit="7" topLeftCell="E36" activePane="bottomRight" state="frozen"/>
      <selection activeCell="I56" sqref="I56"/>
      <selection pane="topRight" activeCell="I56" sqref="I56"/>
      <selection pane="bottomLeft" activeCell="I56" sqref="I56"/>
      <selection pane="bottomRight" activeCell="B3" sqref="B3:Z51"/>
    </sheetView>
  </sheetViews>
  <sheetFormatPr defaultColWidth="8.85546875" defaultRowHeight="15" outlineLevelRow="1" outlineLevelCol="1"/>
  <cols>
    <col min="1" max="1" width="3.42578125" style="146" customWidth="1"/>
    <col min="2" max="2" width="7.42578125" style="198" customWidth="1"/>
    <col min="3" max="3" width="52" style="216" customWidth="1"/>
    <col min="4" max="4" width="11" style="198" customWidth="1"/>
    <col min="5" max="5" width="13.7109375" style="146" hidden="1" customWidth="1"/>
    <col min="6" max="6" width="13.42578125" style="146" hidden="1" customWidth="1"/>
    <col min="7" max="7" width="14.28515625" style="146" hidden="1" customWidth="1"/>
    <col min="8" max="9" width="13.140625" style="146" hidden="1" customWidth="1"/>
    <col min="10" max="12" width="13.28515625" style="146" hidden="1" customWidth="1"/>
    <col min="13" max="14" width="15.42578125" style="146" hidden="1" customWidth="1"/>
    <col min="15" max="15" width="14.140625" style="146" hidden="1" customWidth="1"/>
    <col min="16" max="16" width="12.85546875" style="225" hidden="1" customWidth="1"/>
    <col min="17" max="17" width="13.7109375" style="145" customWidth="1" outlineLevel="1"/>
    <col min="18" max="18" width="14.28515625" style="145" customWidth="1"/>
    <col min="19" max="19" width="13.7109375" style="145" customWidth="1" outlineLevel="1"/>
    <col min="20" max="20" width="18.5703125" style="1148" hidden="1" customWidth="1"/>
    <col min="21" max="21" width="23.7109375" style="1148" hidden="1" customWidth="1"/>
    <col min="22" max="22" width="17.85546875" style="1148" customWidth="1"/>
    <col min="23" max="23" width="15.7109375" style="145" customWidth="1" outlineLevel="1"/>
    <col min="24" max="24" width="13.85546875" style="145" customWidth="1"/>
    <col min="25" max="25" width="23.7109375" style="145" customWidth="1" outlineLevel="1"/>
    <col min="26" max="26" width="17.7109375" style="145" customWidth="1"/>
    <col min="27" max="27" width="13.5703125" style="146" customWidth="1"/>
    <col min="28" max="28" width="14.42578125" style="146" customWidth="1"/>
    <col min="29" max="29" width="17.140625" style="146" customWidth="1"/>
    <col min="30" max="30" width="10" style="146" bestFit="1" customWidth="1"/>
    <col min="31" max="31" width="24.7109375" style="146" customWidth="1"/>
    <col min="32" max="32" width="17.28515625" style="146" customWidth="1"/>
    <col min="33" max="33" width="7.5703125" style="146" customWidth="1"/>
    <col min="34" max="34" width="15" style="146" customWidth="1"/>
    <col min="35" max="16384" width="8.85546875" style="146"/>
  </cols>
  <sheetData>
    <row r="1" spans="2:34" hidden="1">
      <c r="P1" s="143">
        <v>94484.69</v>
      </c>
      <c r="Q1" s="144"/>
      <c r="R1" s="144">
        <v>96180.55</v>
      </c>
      <c r="S1" s="144"/>
      <c r="T1" s="1149">
        <v>104556.96</v>
      </c>
      <c r="U1" s="1149"/>
      <c r="V1" s="1149"/>
      <c r="W1" s="144"/>
      <c r="X1" s="144">
        <v>106282.43</v>
      </c>
      <c r="Y1" s="144"/>
      <c r="Z1" s="144">
        <v>110533.72</v>
      </c>
    </row>
    <row r="2" spans="2:34">
      <c r="P2" s="713"/>
      <c r="Q2" s="714"/>
      <c r="R2" s="714"/>
      <c r="S2" s="714"/>
      <c r="T2" s="714"/>
      <c r="U2" s="714"/>
      <c r="V2" s="714"/>
      <c r="W2" s="714"/>
      <c r="X2" s="714"/>
      <c r="Y2" s="1670" t="s">
        <v>1336</v>
      </c>
      <c r="Z2" s="1670"/>
    </row>
    <row r="3" spans="2:34" s="139" customFormat="1">
      <c r="B3" s="138"/>
      <c r="C3" s="682" t="s">
        <v>1407</v>
      </c>
      <c r="D3" s="138"/>
      <c r="P3" s="226"/>
      <c r="Q3" s="141"/>
      <c r="R3" s="141"/>
      <c r="S3" s="141"/>
      <c r="T3" s="1338"/>
      <c r="U3" s="1338"/>
      <c r="V3" s="1338"/>
      <c r="W3" s="141"/>
      <c r="X3" s="141"/>
      <c r="Y3" s="141"/>
      <c r="Z3" s="141"/>
    </row>
    <row r="4" spans="2:34">
      <c r="B4" s="681" t="s">
        <v>608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T4" s="1338"/>
      <c r="U4" s="1338"/>
      <c r="V4" s="1338"/>
    </row>
    <row r="5" spans="2:34" s="148" customFormat="1" ht="36" customHeight="1">
      <c r="B5" s="1671" t="s">
        <v>539</v>
      </c>
      <c r="C5" s="1596" t="s">
        <v>540</v>
      </c>
      <c r="D5" s="1672" t="s">
        <v>541</v>
      </c>
      <c r="E5" s="1596" t="s">
        <v>4</v>
      </c>
      <c r="F5" s="1596"/>
      <c r="G5" s="1596" t="s">
        <v>5</v>
      </c>
      <c r="H5" s="1596"/>
      <c r="I5" s="1596" t="s">
        <v>6</v>
      </c>
      <c r="J5" s="1596"/>
      <c r="K5" s="147"/>
      <c r="L5" s="147"/>
      <c r="M5" s="1596" t="s">
        <v>7</v>
      </c>
      <c r="N5" s="1596"/>
      <c r="O5" s="1596" t="s">
        <v>1410</v>
      </c>
      <c r="P5" s="1596"/>
      <c r="Q5" s="1662" t="s">
        <v>1385</v>
      </c>
      <c r="R5" s="1662"/>
      <c r="S5" s="1662" t="s">
        <v>10</v>
      </c>
      <c r="T5" s="1662"/>
      <c r="U5" s="1373"/>
      <c r="V5" s="1674" t="s">
        <v>1810</v>
      </c>
      <c r="W5" s="1662" t="s">
        <v>11</v>
      </c>
      <c r="X5" s="1662"/>
      <c r="Y5" s="1662" t="s">
        <v>12</v>
      </c>
      <c r="Z5" s="1662"/>
    </row>
    <row r="6" spans="2:34" s="148" customFormat="1" ht="42.6" customHeight="1">
      <c r="B6" s="1671"/>
      <c r="C6" s="1596"/>
      <c r="D6" s="1672"/>
      <c r="E6" s="149" t="s">
        <v>13</v>
      </c>
      <c r="F6" s="150" t="s">
        <v>14</v>
      </c>
      <c r="G6" s="149" t="s">
        <v>13</v>
      </c>
      <c r="H6" s="150" t="s">
        <v>14</v>
      </c>
      <c r="I6" s="149" t="s">
        <v>13</v>
      </c>
      <c r="J6" s="150" t="s">
        <v>14</v>
      </c>
      <c r="K6" s="150"/>
      <c r="L6" s="150" t="s">
        <v>542</v>
      </c>
      <c r="M6" s="149" t="s">
        <v>13</v>
      </c>
      <c r="N6" s="150" t="s">
        <v>14</v>
      </c>
      <c r="O6" s="149" t="s">
        <v>1361</v>
      </c>
      <c r="P6" s="151" t="s">
        <v>17</v>
      </c>
      <c r="Q6" s="152" t="s">
        <v>16</v>
      </c>
      <c r="R6" s="153" t="s">
        <v>17</v>
      </c>
      <c r="S6" s="152" t="s">
        <v>16</v>
      </c>
      <c r="T6" s="1150" t="s">
        <v>17</v>
      </c>
      <c r="U6" s="1150" t="s">
        <v>1536</v>
      </c>
      <c r="V6" s="1675"/>
      <c r="W6" s="152" t="s">
        <v>16</v>
      </c>
      <c r="X6" s="153" t="s">
        <v>17</v>
      </c>
      <c r="Y6" s="152" t="s">
        <v>16</v>
      </c>
      <c r="Z6" s="153" t="s">
        <v>17</v>
      </c>
    </row>
    <row r="7" spans="2:34" s="148" customFormat="1">
      <c r="B7" s="154">
        <v>1</v>
      </c>
      <c r="C7" s="154">
        <v>2</v>
      </c>
      <c r="D7" s="154">
        <v>3</v>
      </c>
      <c r="E7" s="155">
        <v>4</v>
      </c>
      <c r="F7" s="155">
        <v>5</v>
      </c>
      <c r="G7" s="155">
        <v>6</v>
      </c>
      <c r="H7" s="155">
        <v>7</v>
      </c>
      <c r="I7" s="155">
        <v>8</v>
      </c>
      <c r="J7" s="155">
        <v>9</v>
      </c>
      <c r="K7" s="155"/>
      <c r="L7" s="155"/>
      <c r="M7" s="155">
        <v>10</v>
      </c>
      <c r="N7" s="155">
        <v>11</v>
      </c>
      <c r="O7" s="155">
        <v>12</v>
      </c>
      <c r="P7" s="156">
        <v>13</v>
      </c>
      <c r="Q7" s="157">
        <v>14</v>
      </c>
      <c r="R7" s="157">
        <v>15</v>
      </c>
      <c r="S7" s="157">
        <v>16</v>
      </c>
      <c r="T7" s="1151">
        <v>17</v>
      </c>
      <c r="U7" s="1151"/>
      <c r="V7" s="1151"/>
      <c r="W7" s="157">
        <v>18</v>
      </c>
      <c r="X7" s="157">
        <v>19</v>
      </c>
      <c r="Y7" s="157">
        <v>20</v>
      </c>
      <c r="Z7" s="157">
        <v>21</v>
      </c>
    </row>
    <row r="8" spans="2:34">
      <c r="B8" s="158">
        <v>1</v>
      </c>
      <c r="C8" s="159" t="s">
        <v>543</v>
      </c>
      <c r="D8" s="160" t="s">
        <v>544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163"/>
      <c r="R8" s="163"/>
      <c r="S8" s="163"/>
      <c r="T8" s="1149">
        <f>T9+T27+T28</f>
        <v>682308.96196836967</v>
      </c>
      <c r="U8" s="1149"/>
      <c r="V8" s="1149">
        <f>V9+V27+V28</f>
        <v>682308.96196836967</v>
      </c>
      <c r="W8" s="163"/>
      <c r="X8" s="163"/>
      <c r="Y8" s="163"/>
      <c r="Z8" s="163"/>
    </row>
    <row r="9" spans="2:34" ht="16.149999999999999" customHeight="1">
      <c r="B9" s="158" t="s">
        <v>24</v>
      </c>
      <c r="C9" s="164" t="s">
        <v>545</v>
      </c>
      <c r="D9" s="160" t="s">
        <v>544</v>
      </c>
      <c r="E9" s="165">
        <f>E10+E19+E24</f>
        <v>369471.87153873919</v>
      </c>
      <c r="F9" s="165">
        <f>F10+F19+F24</f>
        <v>337978.80511389999</v>
      </c>
      <c r="G9" s="165">
        <f>G10+G19+G24</f>
        <v>394700.09617651196</v>
      </c>
      <c r="H9" s="165">
        <f>H10+H19+H24</f>
        <v>531303.20489680697</v>
      </c>
      <c r="I9" s="165">
        <f>I10+I19+I24+0.01</f>
        <v>706447.01061156148</v>
      </c>
      <c r="J9" s="165">
        <f>J10+J19+J24</f>
        <v>424914.92424378399</v>
      </c>
      <c r="K9" s="165">
        <f>K10+K19+K24</f>
        <v>571980.37980356987</v>
      </c>
      <c r="L9" s="165"/>
      <c r="M9" s="165">
        <f>M10+M19+M24</f>
        <v>654122.69297906291</v>
      </c>
      <c r="N9" s="165">
        <f>N10+N19+N24</f>
        <v>587193.41671803466</v>
      </c>
      <c r="O9" s="165">
        <f>O10+O19+O24</f>
        <v>647216.48125248868</v>
      </c>
      <c r="P9" s="663">
        <v>488573.07945794123</v>
      </c>
      <c r="Q9" s="165">
        <f>Q10+Q19+Q24</f>
        <v>772924.43702744483</v>
      </c>
      <c r="R9" s="165">
        <f>R10+R19+R24</f>
        <v>498665.39285004605</v>
      </c>
      <c r="S9" s="165">
        <f t="shared" ref="S9:Z9" si="0">S10+S19+S24</f>
        <v>858809.53408521228</v>
      </c>
      <c r="T9" s="1188">
        <f t="shared" si="0"/>
        <v>566118.41196836974</v>
      </c>
      <c r="U9" s="1188"/>
      <c r="V9" s="1188">
        <f>V10+V19+V24</f>
        <v>566118.41196836974</v>
      </c>
      <c r="W9" s="165">
        <f t="shared" si="0"/>
        <v>883235.52474465012</v>
      </c>
      <c r="X9" s="165">
        <f t="shared" si="0"/>
        <v>523580.94637887535</v>
      </c>
      <c r="Y9" s="165">
        <f t="shared" si="0"/>
        <v>905261.19538628007</v>
      </c>
      <c r="Z9" s="165">
        <f t="shared" si="0"/>
        <v>557673.58967885817</v>
      </c>
    </row>
    <row r="10" spans="2:34">
      <c r="B10" s="158" t="s">
        <v>26</v>
      </c>
      <c r="C10" s="164" t="s">
        <v>497</v>
      </c>
      <c r="D10" s="160" t="s">
        <v>544</v>
      </c>
      <c r="E10" s="165">
        <v>252391.5407213592</v>
      </c>
      <c r="F10" s="165">
        <v>258265.3024713</v>
      </c>
      <c r="G10" s="165">
        <v>214087.879171512</v>
      </c>
      <c r="H10" s="165">
        <v>291918.34522480692</v>
      </c>
      <c r="I10" s="166">
        <v>356166.37089125463</v>
      </c>
      <c r="J10" s="165">
        <v>288316.69035558397</v>
      </c>
      <c r="K10" s="165">
        <v>356166.37089125463</v>
      </c>
      <c r="L10" s="165"/>
      <c r="M10" s="166">
        <v>365651.08172751294</v>
      </c>
      <c r="N10" s="165">
        <f>'К ВО'!N326</f>
        <v>414931.96982969996</v>
      </c>
      <c r="O10" s="165">
        <f>'К ВО'!S326</f>
        <v>409065.55334879598</v>
      </c>
      <c r="P10" s="663">
        <v>368287.56695097545</v>
      </c>
      <c r="Q10" s="165">
        <f>'К ВО'!V326</f>
        <v>490618.76126451429</v>
      </c>
      <c r="R10" s="165">
        <v>377001.25078503555</v>
      </c>
      <c r="S10" s="165">
        <f>'К ВО'!W326</f>
        <v>567867.99276532221</v>
      </c>
      <c r="T10" s="1188">
        <f>'Корректировка ВО'!G19</f>
        <v>385919.65654403198</v>
      </c>
      <c r="U10" s="1188"/>
      <c r="V10" s="1188">
        <f>'Корректировка ВО'!G19</f>
        <v>385919.65654403198</v>
      </c>
      <c r="W10" s="165">
        <f>'К ВО'!Y326</f>
        <v>582247.9616912019</v>
      </c>
      <c r="X10" s="165">
        <v>399650.03824739746</v>
      </c>
      <c r="Y10" s="165">
        <f>'К ВО'!AA326</f>
        <v>596962.40171717864</v>
      </c>
      <c r="Z10" s="165">
        <v>411479.67937952001</v>
      </c>
    </row>
    <row r="11" spans="2:34">
      <c r="B11" s="158"/>
      <c r="C11" s="142" t="s">
        <v>546</v>
      </c>
      <c r="D11" s="160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>
        <f>'К ВО'!S121</f>
        <v>17564.397000000001</v>
      </c>
      <c r="P11" s="663">
        <v>8276.4190693339988</v>
      </c>
      <c r="Q11" s="165">
        <f>'К ВО'!V121</f>
        <v>20081.099999999999</v>
      </c>
      <c r="R11" s="165">
        <f>P11*(1-R16)*R17</f>
        <v>8521.4010737862845</v>
      </c>
      <c r="S11" s="165"/>
      <c r="T11" s="1188">
        <f>R11*(1-T16)*T17</f>
        <v>8739.8897973181647</v>
      </c>
      <c r="U11" s="1188"/>
      <c r="V11" s="1188"/>
      <c r="W11" s="165"/>
      <c r="X11" s="165">
        <f>T11*(1-X16)*X17</f>
        <v>8998.5905353187827</v>
      </c>
      <c r="Y11" s="165"/>
      <c r="Z11" s="165">
        <f>X11*(1-Z16)*Z17</f>
        <v>9264.9488151642199</v>
      </c>
    </row>
    <row r="12" spans="2:34" ht="21">
      <c r="B12" s="158"/>
      <c r="C12" s="142" t="s">
        <v>1311</v>
      </c>
      <c r="D12" s="160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>
        <f>'К ВО'!S123</f>
        <v>13015.028</v>
      </c>
      <c r="P12" s="664">
        <v>76379.23000000001</v>
      </c>
      <c r="Q12" s="640">
        <v>56300</v>
      </c>
      <c r="R12" s="664">
        <f>R27-R13</f>
        <v>77788.62</v>
      </c>
      <c r="S12" s="640">
        <v>58552</v>
      </c>
      <c r="T12" s="1189">
        <f>'распределение амортизации'!Q26</f>
        <v>58225</v>
      </c>
      <c r="U12" s="1189"/>
      <c r="V12" s="1189"/>
      <c r="W12" s="640">
        <v>60894.080000000002</v>
      </c>
      <c r="X12" s="640">
        <v>106282.43</v>
      </c>
      <c r="Y12" s="640">
        <f>'расшифровки ВО'!U315</f>
        <v>63329.84</v>
      </c>
      <c r="Z12" s="640">
        <v>110533.72</v>
      </c>
    </row>
    <row r="13" spans="2:34" ht="21">
      <c r="B13" s="158"/>
      <c r="C13" s="142" t="s">
        <v>1314</v>
      </c>
      <c r="D13" s="160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664">
        <v>37915.120000000003</v>
      </c>
      <c r="Q13" s="640">
        <v>50623</v>
      </c>
      <c r="R13" s="640">
        <v>36505.730000000003</v>
      </c>
      <c r="S13" s="640">
        <v>50623.59</v>
      </c>
      <c r="T13" s="1188">
        <f>'распределение амортизации'!Q20</f>
        <v>49925.63</v>
      </c>
      <c r="U13" s="1188"/>
      <c r="V13" s="1188"/>
      <c r="W13" s="640">
        <v>48411.8</v>
      </c>
      <c r="X13" s="640"/>
      <c r="Y13" s="640">
        <v>63329.84</v>
      </c>
      <c r="Z13" s="640"/>
      <c r="AB13" s="1200" t="s">
        <v>1473</v>
      </c>
      <c r="AC13" s="1200"/>
      <c r="AD13" s="146" t="s">
        <v>698</v>
      </c>
    </row>
    <row r="14" spans="2:34" ht="21">
      <c r="B14" s="158"/>
      <c r="C14" s="142" t="s">
        <v>1315</v>
      </c>
      <c r="D14" s="160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664"/>
      <c r="Q14" s="640"/>
      <c r="R14" s="640"/>
      <c r="S14" s="640">
        <v>233579.64</v>
      </c>
      <c r="T14" s="1188"/>
      <c r="U14" s="1188"/>
      <c r="V14" s="1188"/>
      <c r="W14" s="640">
        <v>238980.9</v>
      </c>
      <c r="X14" s="640"/>
      <c r="Y14" s="640">
        <v>236545.14</v>
      </c>
      <c r="Z14" s="640"/>
      <c r="AB14" s="1335" t="s">
        <v>1516</v>
      </c>
      <c r="AC14" s="1200"/>
      <c r="AE14" s="1335" t="s">
        <v>1517</v>
      </c>
      <c r="AF14" s="1200"/>
      <c r="AH14" s="146" t="s">
        <v>1515</v>
      </c>
    </row>
    <row r="15" spans="2:34">
      <c r="B15" s="158"/>
      <c r="C15" s="142" t="s">
        <v>547</v>
      </c>
      <c r="D15" s="160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663">
        <v>0</v>
      </c>
      <c r="Q15" s="165"/>
      <c r="R15" s="165">
        <f>P15*(1-R16)*R17</f>
        <v>0</v>
      </c>
      <c r="S15" s="165"/>
      <c r="T15" s="1188">
        <f>R15*(1-T16)*T17</f>
        <v>0</v>
      </c>
      <c r="U15" s="1188"/>
      <c r="V15" s="1188"/>
      <c r="W15" s="165"/>
      <c r="X15" s="165">
        <f>T15*(1-X16)*X17</f>
        <v>0</v>
      </c>
      <c r="Y15" s="165"/>
      <c r="Z15" s="165">
        <f>X15*(1-Z16)*Z17</f>
        <v>0</v>
      </c>
      <c r="AB15" s="1203" t="s">
        <v>1475</v>
      </c>
      <c r="AC15" s="1204">
        <f>SUM(AC16:AC22)</f>
        <v>185404.66698889009</v>
      </c>
      <c r="AE15" s="1203" t="s">
        <v>1475</v>
      </c>
      <c r="AF15" s="1204">
        <f>SUM(AF16:AF22)</f>
        <v>93274.106604936402</v>
      </c>
      <c r="AH15" s="1204">
        <f>SUM(AH16:AH22)</f>
        <v>-92130.560383953678</v>
      </c>
    </row>
    <row r="16" spans="2:34">
      <c r="B16" s="160" t="s">
        <v>548</v>
      </c>
      <c r="C16" s="46" t="s">
        <v>549</v>
      </c>
      <c r="D16" s="160" t="s">
        <v>544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73"/>
      <c r="Q16" s="167"/>
      <c r="R16" s="167">
        <v>0.01</v>
      </c>
      <c r="S16" s="167"/>
      <c r="T16" s="1155">
        <f>R16</f>
        <v>0.01</v>
      </c>
      <c r="U16" s="1155"/>
      <c r="V16" s="1155"/>
      <c r="W16" s="167"/>
      <c r="X16" s="167">
        <f>T16</f>
        <v>0.01</v>
      </c>
      <c r="Y16" s="167"/>
      <c r="Z16" s="167">
        <f>X16</f>
        <v>0.01</v>
      </c>
      <c r="AB16" s="1201" t="s">
        <v>1474</v>
      </c>
      <c r="AC16" s="1202">
        <f>'К ВО'!W104</f>
        <v>15503.561772194764</v>
      </c>
      <c r="AE16" s="1201" t="s">
        <v>1474</v>
      </c>
      <c r="AF16" s="1202">
        <f>'К ВО'!U104</f>
        <v>3442.12</v>
      </c>
      <c r="AH16" s="1337">
        <f>AF16-AC16</f>
        <v>-12061.441772194765</v>
      </c>
    </row>
    <row r="17" spans="2:34">
      <c r="B17" s="160" t="s">
        <v>550</v>
      </c>
      <c r="C17" s="46" t="s">
        <v>551</v>
      </c>
      <c r="D17" s="160" t="s">
        <v>544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73"/>
      <c r="Q17" s="167"/>
      <c r="R17" s="167">
        <v>1.04</v>
      </c>
      <c r="S17" s="167"/>
      <c r="T17" s="1155">
        <v>1.036</v>
      </c>
      <c r="U17" s="1155"/>
      <c r="V17" s="1155"/>
      <c r="W17" s="167"/>
      <c r="X17" s="167">
        <f>'[8]Прогнозные индексы'!I6/100</f>
        <v>1.04</v>
      </c>
      <c r="Y17" s="167"/>
      <c r="Z17" s="167">
        <f>'[8]Прогнозные индексы'!J6/100</f>
        <v>1.04</v>
      </c>
      <c r="AB17" s="1201" t="s">
        <v>1476</v>
      </c>
      <c r="AC17" s="1202">
        <f>'К ВО'!W175</f>
        <v>7753.9322270927005</v>
      </c>
      <c r="AE17" s="1201" t="s">
        <v>1476</v>
      </c>
      <c r="AF17" s="1202">
        <f>'К ВО'!Q175</f>
        <v>1168.3631109364301</v>
      </c>
      <c r="AH17" s="1337">
        <f t="shared" ref="AH17:AH22" si="1">AF17-AC17</f>
        <v>-6585.56911615627</v>
      </c>
    </row>
    <row r="18" spans="2:34">
      <c r="B18" s="160" t="s">
        <v>552</v>
      </c>
      <c r="C18" s="46" t="s">
        <v>553</v>
      </c>
      <c r="D18" s="160" t="s">
        <v>544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73"/>
      <c r="Q18" s="167"/>
      <c r="R18" s="167"/>
      <c r="S18" s="167"/>
      <c r="T18" s="1155"/>
      <c r="U18" s="1155"/>
      <c r="V18" s="1155"/>
      <c r="W18" s="167"/>
      <c r="X18" s="167"/>
      <c r="Y18" s="167"/>
      <c r="Z18" s="167"/>
      <c r="AB18" s="1201" t="s">
        <v>1513</v>
      </c>
      <c r="AC18" s="1202">
        <f>'К ВО'!W187-'К ВО'!W189</f>
        <v>569.50384999997914</v>
      </c>
      <c r="AD18" s="224"/>
      <c r="AE18" s="1201" t="s">
        <v>1513</v>
      </c>
      <c r="AF18" s="1202">
        <f>AC18</f>
        <v>569.50384999997914</v>
      </c>
      <c r="AH18" s="1337">
        <f t="shared" si="1"/>
        <v>0</v>
      </c>
    </row>
    <row r="19" spans="2:34">
      <c r="B19" s="158" t="s">
        <v>32</v>
      </c>
      <c r="C19" s="164" t="s">
        <v>554</v>
      </c>
      <c r="D19" s="160" t="s">
        <v>544</v>
      </c>
      <c r="E19" s="165">
        <f>'К ВО'!F17</f>
        <v>22882.457999999995</v>
      </c>
      <c r="F19" s="165">
        <f>'К ВО'!G17</f>
        <v>23996.94</v>
      </c>
      <c r="G19" s="165">
        <f>'К ВО'!H17</f>
        <v>24559.587820000001</v>
      </c>
      <c r="H19" s="165">
        <f>'К ВО'!I17</f>
        <v>33956.947572000005</v>
      </c>
      <c r="I19" s="166">
        <f>'К ВО'!J17+0.02</f>
        <v>133903.10157228896</v>
      </c>
      <c r="J19" s="165">
        <f>'К ВО'!K17</f>
        <v>69690.145648200007</v>
      </c>
      <c r="K19" s="165">
        <f>K21*K22</f>
        <v>148905.92067231523</v>
      </c>
      <c r="L19" s="165">
        <f>(J20-I20)*J48*I21</f>
        <v>-62151.192581822404</v>
      </c>
      <c r="M19" s="166">
        <f>'К ВО'!L17</f>
        <v>170433.37806775208</v>
      </c>
      <c r="N19" s="165">
        <f>'К ВО'!N17</f>
        <v>76095.350000000006</v>
      </c>
      <c r="O19" s="165">
        <f>'К ВО'!S17</f>
        <v>84417.862851600003</v>
      </c>
      <c r="P19" s="663">
        <v>73407.673512761758</v>
      </c>
      <c r="Q19" s="165">
        <f>'К ВО'!V17</f>
        <v>95188.269725999999</v>
      </c>
      <c r="R19" s="165">
        <f>R21*R22</f>
        <v>76365.991622451358</v>
      </c>
      <c r="S19" s="165">
        <f>'К ВО'!W17</f>
        <v>105536.874331</v>
      </c>
      <c r="T19" s="1208">
        <f>'Корректировка ВО'!G21</f>
        <v>86924.648819401336</v>
      </c>
      <c r="U19" s="1208"/>
      <c r="V19" s="1208">
        <f>'Корректировка ВО'!G21</f>
        <v>86924.648819401336</v>
      </c>
      <c r="W19" s="165">
        <f>'К ВО'!Y17</f>
        <v>117511.03744400002</v>
      </c>
      <c r="X19" s="1372">
        <f>X21*X22-18000</f>
        <v>77834.51045786262</v>
      </c>
      <c r="Y19" s="165">
        <f>'К ВО'!AA17</f>
        <v>129268.75318299999</v>
      </c>
      <c r="Z19" s="165">
        <f>Z21*Z22</f>
        <v>99696.650529770166</v>
      </c>
      <c r="AB19" s="1201" t="s">
        <v>1123</v>
      </c>
      <c r="AC19" s="224">
        <f>'К ВО'!Y189</f>
        <v>151283.54949560264</v>
      </c>
      <c r="AE19" s="1201" t="s">
        <v>1123</v>
      </c>
      <c r="AF19" s="1337">
        <v>77800</v>
      </c>
      <c r="AH19" s="1337">
        <f t="shared" si="1"/>
        <v>-73483.549495602638</v>
      </c>
    </row>
    <row r="20" spans="2:34">
      <c r="B20" s="160"/>
      <c r="C20" s="171" t="s">
        <v>555</v>
      </c>
      <c r="D20" s="160"/>
      <c r="E20" s="167"/>
      <c r="F20" s="167"/>
      <c r="G20" s="167"/>
      <c r="H20" s="167"/>
      <c r="I20" s="167">
        <v>0.88</v>
      </c>
      <c r="J20" s="172">
        <f>J22/J48</f>
        <v>0.41185285241527708</v>
      </c>
      <c r="K20" s="167">
        <f>I20</f>
        <v>0.88</v>
      </c>
      <c r="L20" s="167"/>
      <c r="M20" s="172">
        <f>M22/M48</f>
        <v>0.88000000000000012</v>
      </c>
      <c r="N20" s="172">
        <f>N22/N48</f>
        <v>0.40496168827408802</v>
      </c>
      <c r="O20" s="172">
        <f>O22/O46</f>
        <v>0.58736224620318001</v>
      </c>
      <c r="P20" s="167">
        <v>0.41199999999999998</v>
      </c>
      <c r="Q20" s="172">
        <f>Q22/Q46</f>
        <v>0.56402890169037345</v>
      </c>
      <c r="R20" s="167">
        <f>P20</f>
        <v>0.41199999999999998</v>
      </c>
      <c r="S20" s="172">
        <f>S22/S46</f>
        <v>0.61340960965815572</v>
      </c>
      <c r="T20" s="1155">
        <f>R20</f>
        <v>0.41199999999999998</v>
      </c>
      <c r="U20" s="1155"/>
      <c r="V20" s="1155"/>
      <c r="W20" s="172">
        <f>W22/W46</f>
        <v>0.60787638145619094</v>
      </c>
      <c r="X20" s="167">
        <f>T20</f>
        <v>0.41199999999999998</v>
      </c>
      <c r="Y20" s="172">
        <f>Y22/Y46</f>
        <v>0.60219117790258581</v>
      </c>
      <c r="Z20" s="167">
        <f>X20</f>
        <v>0.41199999999999998</v>
      </c>
      <c r="AB20" s="1201" t="s">
        <v>1139</v>
      </c>
      <c r="AC20" s="1202">
        <f>'К ВО'!W77</f>
        <v>2634.44</v>
      </c>
      <c r="AE20" s="1201" t="s">
        <v>1139</v>
      </c>
      <c r="AF20" s="1202">
        <f>AC20</f>
        <v>2634.44</v>
      </c>
      <c r="AH20" s="1337">
        <f t="shared" si="1"/>
        <v>0</v>
      </c>
    </row>
    <row r="21" spans="2:34">
      <c r="B21" s="160"/>
      <c r="C21" s="171" t="s">
        <v>556</v>
      </c>
      <c r="D21" s="160"/>
      <c r="E21" s="167"/>
      <c r="F21" s="167"/>
      <c r="G21" s="167"/>
      <c r="H21" s="167"/>
      <c r="I21" s="227">
        <v>2.5335668394048034</v>
      </c>
      <c r="J21" s="173">
        <f>J19/J22</f>
        <v>3.2291972594834593</v>
      </c>
      <c r="K21" s="167">
        <f>J21</f>
        <v>3.2291972594834593</v>
      </c>
      <c r="L21" s="167"/>
      <c r="M21" s="173">
        <f>M19/M22</f>
        <v>3.2687379622715147</v>
      </c>
      <c r="N21" s="173">
        <f>N19/N22</f>
        <v>3.5744738038943575</v>
      </c>
      <c r="O21" s="173">
        <f>O19/O22</f>
        <v>3.9727569297632965</v>
      </c>
      <c r="P21" s="173">
        <v>3.4259991580424836</v>
      </c>
      <c r="Q21" s="167">
        <f>Q19/Q22</f>
        <v>4.4178990647426826</v>
      </c>
      <c r="R21" s="167">
        <f>P21*R23</f>
        <v>3.5287791327837583</v>
      </c>
      <c r="S21" s="167">
        <f>S19/S22</f>
        <v>4.7970693797501962</v>
      </c>
      <c r="T21" s="1155">
        <f>'Корректировка ВО'!G25</f>
        <v>4.2146978267858817</v>
      </c>
      <c r="U21" s="1155"/>
      <c r="V21" s="1155"/>
      <c r="W21" s="167">
        <f>W19/W22</f>
        <v>5.3393354902828456</v>
      </c>
      <c r="X21" s="167">
        <f>T21*X23</f>
        <v>4.3411387615894581</v>
      </c>
      <c r="Y21" s="167">
        <f>Y19/Y22</f>
        <v>5.8733026031744124</v>
      </c>
      <c r="Z21" s="167">
        <f>X21*Z23</f>
        <v>4.4713729244371416</v>
      </c>
      <c r="AB21" s="1201" t="s">
        <v>1477</v>
      </c>
      <c r="AC21" s="1202">
        <f>'К ВО'!W79</f>
        <v>6383.1016440000003</v>
      </c>
      <c r="AE21" s="1201" t="s">
        <v>1477</v>
      </c>
      <c r="AF21" s="1202">
        <f>AC21</f>
        <v>6383.1016440000003</v>
      </c>
      <c r="AH21" s="1337">
        <f t="shared" si="1"/>
        <v>0</v>
      </c>
    </row>
    <row r="22" spans="2:34">
      <c r="B22" s="160"/>
      <c r="C22" s="171" t="s">
        <v>557</v>
      </c>
      <c r="D22" s="160"/>
      <c r="E22" s="167"/>
      <c r="F22" s="167"/>
      <c r="G22" s="167"/>
      <c r="H22" s="167"/>
      <c r="I22" s="227">
        <v>52851.612000000001</v>
      </c>
      <c r="J22" s="167">
        <f>'[8]расшифровки ВО'!J71</f>
        <v>21581.260000000002</v>
      </c>
      <c r="K22" s="167">
        <f>K20*K48</f>
        <v>46112.364376320002</v>
      </c>
      <c r="L22" s="167"/>
      <c r="M22" s="167">
        <f>'[8]расшифровки ВО'!K71</f>
        <v>52140.42240000001</v>
      </c>
      <c r="N22" s="167">
        <f>'К ВО'!N19</f>
        <v>21288.545999999998</v>
      </c>
      <c r="O22" s="167">
        <f>'К ВО'!S19</f>
        <v>21249.188999999998</v>
      </c>
      <c r="P22" s="167">
        <v>21426.646687999997</v>
      </c>
      <c r="Q22" s="167">
        <f>'К ВО'!V19</f>
        <v>21546.048999999999</v>
      </c>
      <c r="R22" s="167">
        <v>21640.91</v>
      </c>
      <c r="S22" s="167">
        <f>'К ВО'!W19</f>
        <v>22000.280999999995</v>
      </c>
      <c r="T22" s="1155">
        <f>'Корректировка ВО'!G30*'Корректировка ВО'!G23</f>
        <v>6419.9357769999997</v>
      </c>
      <c r="U22" s="1155"/>
      <c r="V22" s="1155"/>
      <c r="W22" s="167">
        <f>'К ВО'!Y19</f>
        <v>22008.550999999999</v>
      </c>
      <c r="X22" s="167">
        <v>22075.892</v>
      </c>
      <c r="Y22" s="167">
        <f>'К ВО'!AA19</f>
        <v>22009.550999999999</v>
      </c>
      <c r="Z22" s="167">
        <v>22296.652999999998</v>
      </c>
      <c r="AB22" s="1201" t="s">
        <v>1479</v>
      </c>
      <c r="AC22" s="1202">
        <f>'К ВО'!W195</f>
        <v>1276.578</v>
      </c>
      <c r="AE22" s="1201" t="s">
        <v>1479</v>
      </c>
      <c r="AF22" s="1202">
        <f>AC22</f>
        <v>1276.578</v>
      </c>
      <c r="AH22" s="1337">
        <f t="shared" si="1"/>
        <v>0</v>
      </c>
    </row>
    <row r="23" spans="2:34">
      <c r="B23" s="160"/>
      <c r="C23" s="171" t="s">
        <v>558</v>
      </c>
      <c r="D23" s="160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73"/>
      <c r="Q23" s="167"/>
      <c r="R23" s="167">
        <f>'[8]Прогнозные индексы'!G9/100</f>
        <v>1.03</v>
      </c>
      <c r="S23" s="167"/>
      <c r="T23" s="1155">
        <f>'[8]Прогнозные индексы'!H9/100</f>
        <v>1.03</v>
      </c>
      <c r="U23" s="1155"/>
      <c r="V23" s="1155"/>
      <c r="W23" s="167"/>
      <c r="X23" s="167">
        <f>'[8]Прогнозные индексы'!I9/100</f>
        <v>1.03</v>
      </c>
      <c r="Y23" s="167"/>
      <c r="Z23" s="167">
        <f>'[8]Прогнозные индексы'!J9/100</f>
        <v>1.03</v>
      </c>
    </row>
    <row r="24" spans="2:34" ht="28.5" customHeight="1">
      <c r="B24" s="158" t="s">
        <v>34</v>
      </c>
      <c r="C24" s="164" t="s">
        <v>1306</v>
      </c>
      <c r="D24" s="160" t="s">
        <v>544</v>
      </c>
      <c r="E24" s="165">
        <v>94197.87281737999</v>
      </c>
      <c r="F24" s="165">
        <v>55716.562642599994</v>
      </c>
      <c r="G24" s="165">
        <v>156052.629185</v>
      </c>
      <c r="H24" s="165">
        <v>205427.91210000002</v>
      </c>
      <c r="I24" s="166">
        <v>216377.52814801785</v>
      </c>
      <c r="J24" s="166">
        <v>66908.088239999997</v>
      </c>
      <c r="K24" s="165">
        <v>66908.088239999997</v>
      </c>
      <c r="L24" s="165"/>
      <c r="M24" s="166">
        <v>118038.23318379794</v>
      </c>
      <c r="N24" s="165">
        <f>'К ВО'!N327+'К ВО'!N77+'К ВО'!N79</f>
        <v>96166.096888334738</v>
      </c>
      <c r="O24" s="165">
        <f>'К ВО'!S327+'К ВО'!S77+'К ВО'!S79</f>
        <v>153733.06505209269</v>
      </c>
      <c r="P24" s="663">
        <v>46877.838994203979</v>
      </c>
      <c r="Q24" s="165">
        <f>'К ВО'!V327+'К ВО'!V77+'К ВО'!V79</f>
        <v>187117.40603693048</v>
      </c>
      <c r="R24" s="165">
        <v>45298.150442559141</v>
      </c>
      <c r="S24" s="165">
        <f>'К ВО'!W327+'К ВО'!W77+'К ВО'!W79</f>
        <v>185404.66698889009</v>
      </c>
      <c r="T24" s="1190">
        <f>AF15</f>
        <v>93274.106604936402</v>
      </c>
      <c r="U24" s="1190"/>
      <c r="V24" s="1190">
        <f>'Корректировка ВО'!G20</f>
        <v>93274.106604936402</v>
      </c>
      <c r="W24" s="165">
        <f>'К ВО'!Y327+'К ВО'!Y77+'К ВО'!Y79</f>
        <v>183476.52560944823</v>
      </c>
      <c r="X24" s="165">
        <v>46096.397673615262</v>
      </c>
      <c r="Y24" s="165">
        <f>'К ВО'!AA327+'К ВО'!AA77+'К ВО'!AA79</f>
        <v>179030.04048610141</v>
      </c>
      <c r="Z24" s="165">
        <v>46497.259769567987</v>
      </c>
    </row>
    <row r="25" spans="2:34">
      <c r="B25" s="160" t="s">
        <v>559</v>
      </c>
      <c r="C25" s="46" t="s">
        <v>560</v>
      </c>
      <c r="D25" s="160" t="s">
        <v>544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73"/>
      <c r="Q25" s="167"/>
      <c r="R25" s="167"/>
      <c r="S25" s="167"/>
      <c r="T25" s="1155"/>
      <c r="U25" s="1155"/>
      <c r="V25" s="1155"/>
      <c r="W25" s="167"/>
      <c r="X25" s="167"/>
      <c r="Y25" s="167"/>
      <c r="Z25" s="167"/>
    </row>
    <row r="26" spans="2:34">
      <c r="B26" s="160" t="s">
        <v>561</v>
      </c>
      <c r="C26" s="46" t="s">
        <v>562</v>
      </c>
      <c r="D26" s="160" t="s">
        <v>544</v>
      </c>
      <c r="E26" s="167">
        <f>'К ВО'!F104</f>
        <v>10180.369999999999</v>
      </c>
      <c r="F26" s="167">
        <f>'К ВО'!G104</f>
        <v>16339.96</v>
      </c>
      <c r="G26" s="167">
        <f>'К ВО'!H104</f>
        <v>17046.23</v>
      </c>
      <c r="H26" s="167">
        <f>'К ВО'!I104</f>
        <v>28927.050000000003</v>
      </c>
      <c r="I26" s="167">
        <f>'К ВО'!J104</f>
        <v>26541.000000000004</v>
      </c>
      <c r="J26" s="167">
        <f>'К ВО'!K104</f>
        <v>22800.356253177393</v>
      </c>
      <c r="K26" s="167"/>
      <c r="L26" s="167"/>
      <c r="M26" s="167">
        <f>'К ВО'!L104</f>
        <v>22148.13</v>
      </c>
      <c r="N26" s="167">
        <f>'К ВО'!N104</f>
        <v>18954.34</v>
      </c>
      <c r="O26" s="167">
        <f>'К ВО'!S104</f>
        <v>20020.366000000002</v>
      </c>
      <c r="P26" s="173">
        <v>5135.5869296296123</v>
      </c>
      <c r="Q26" s="167">
        <f>'К ВО'!V104</f>
        <v>18211.068864235167</v>
      </c>
      <c r="R26" s="167">
        <f>'[8]НР ВО'!P39</f>
        <v>3344.1194601732736</v>
      </c>
      <c r="S26" s="167">
        <f>'К ВО'!W104</f>
        <v>15503.561772194764</v>
      </c>
      <c r="T26" s="1191">
        <f>проценты!M100</f>
        <v>14238.644469077029</v>
      </c>
      <c r="U26" s="1191"/>
      <c r="V26" s="1191"/>
      <c r="W26" s="167">
        <f>'К ВО'!Y104</f>
        <v>12552.520006992894</v>
      </c>
      <c r="X26" s="167">
        <f>'[8]НР ВО'!T39</f>
        <v>3621.4824946379972</v>
      </c>
      <c r="Y26" s="167">
        <f>'К ВО'!AA104</f>
        <v>6951.6860024556781</v>
      </c>
      <c r="Z26" s="167">
        <f>'[8]НР ВО'!V39</f>
        <v>3746.1738322410902</v>
      </c>
    </row>
    <row r="27" spans="2:34">
      <c r="B27" s="158" t="s">
        <v>37</v>
      </c>
      <c r="C27" s="164" t="s">
        <v>289</v>
      </c>
      <c r="D27" s="160" t="s">
        <v>544</v>
      </c>
      <c r="E27" s="165">
        <f>'К ВО'!F176</f>
        <v>29290</v>
      </c>
      <c r="F27" s="165">
        <f>'К ВО'!G176</f>
        <v>56084.170000000006</v>
      </c>
      <c r="G27" s="165">
        <f>'К ВО'!H176</f>
        <v>46484.109999999993</v>
      </c>
      <c r="H27" s="165">
        <f>'К ВО'!I176</f>
        <v>75957.08</v>
      </c>
      <c r="I27" s="166">
        <f>'К ВО'!J176</f>
        <v>191400.02</v>
      </c>
      <c r="J27" s="166">
        <v>114294.35304999998</v>
      </c>
      <c r="K27" s="165">
        <f>J27</f>
        <v>114294.35304999998</v>
      </c>
      <c r="L27" s="165"/>
      <c r="M27" s="166">
        <f>'[8]расшифровки ВО'!K390</f>
        <v>191264.72</v>
      </c>
      <c r="N27" s="165">
        <f>'К ВО'!N177</f>
        <v>118501.05</v>
      </c>
      <c r="O27" s="165">
        <f>'К ВО'!S176</f>
        <v>242742.45</v>
      </c>
      <c r="P27" s="663">
        <v>114294.35</v>
      </c>
      <c r="Q27" s="165">
        <f>'К ВО'!V176</f>
        <v>244145.16600000003</v>
      </c>
      <c r="R27" s="165">
        <f>P27</f>
        <v>114294.35</v>
      </c>
      <c r="S27" s="165">
        <f>'К ВО'!W177</f>
        <v>250740.7</v>
      </c>
      <c r="T27" s="1343">
        <f>R27</f>
        <v>114294.35</v>
      </c>
      <c r="U27" s="1343"/>
      <c r="V27" s="1343">
        <f>'Корректировка ВО'!G26</f>
        <v>114294.35</v>
      </c>
      <c r="W27" s="165">
        <f>'К ВО'!Y177</f>
        <v>254975.30000000005</v>
      </c>
      <c r="X27" s="1343">
        <f>T27</f>
        <v>114294.35</v>
      </c>
      <c r="Y27" s="165">
        <f>'К ВО'!AA176</f>
        <v>257903.03000000003</v>
      </c>
      <c r="Z27" s="165">
        <f>X27</f>
        <v>114294.35</v>
      </c>
    </row>
    <row r="28" spans="2:34">
      <c r="B28" s="158" t="s">
        <v>143</v>
      </c>
      <c r="C28" s="164" t="s">
        <v>563</v>
      </c>
      <c r="D28" s="160" t="s">
        <v>544</v>
      </c>
      <c r="E28" s="165">
        <f>'К ВО'!F214</f>
        <v>13624.04</v>
      </c>
      <c r="F28" s="165">
        <f>'К ВО'!G214</f>
        <v>1829.93</v>
      </c>
      <c r="G28" s="165">
        <f>'К ВО'!H214</f>
        <v>9245.01</v>
      </c>
      <c r="H28" s="165">
        <f>'К ВО'!I214+0.01</f>
        <v>2521.34</v>
      </c>
      <c r="I28" s="166">
        <f>'К ВО'!J214</f>
        <v>15800</v>
      </c>
      <c r="J28" s="165">
        <f>'К ВО'!K214</f>
        <v>1483.7600000000002</v>
      </c>
      <c r="K28" s="165">
        <f>K30</f>
        <v>9645.1418461798949</v>
      </c>
      <c r="L28" s="165"/>
      <c r="M28" s="166">
        <f>'К ВО'!L214</f>
        <v>1800</v>
      </c>
      <c r="N28" s="165">
        <f>N29+N30</f>
        <v>3170.6871690000021</v>
      </c>
      <c r="O28" s="165">
        <f>O29+O30</f>
        <v>1620.2659200000003</v>
      </c>
      <c r="P28" s="663">
        <v>1620.2659200000003</v>
      </c>
      <c r="Q28" s="165">
        <f>Q29+Q30</f>
        <v>1620.2659200000003</v>
      </c>
      <c r="R28" s="165">
        <f>R30</f>
        <v>1685.08</v>
      </c>
      <c r="S28" s="165">
        <f>'К ВО'!W214</f>
        <v>3566.591851670019</v>
      </c>
      <c r="T28" s="1188">
        <f>T30</f>
        <v>1896.2</v>
      </c>
      <c r="U28" s="1188"/>
      <c r="V28" s="1188">
        <f>'Корректировка ВО'!G27</f>
        <v>1896.2</v>
      </c>
      <c r="W28" s="165">
        <f>'К ВО'!Y214</f>
        <v>3709.2555257368199</v>
      </c>
      <c r="X28" s="165">
        <f>X30</f>
        <v>1822.58</v>
      </c>
      <c r="Y28" s="165">
        <f>'К ВО'!AA214</f>
        <v>3857.6257467662927</v>
      </c>
      <c r="Z28" s="165">
        <f>Z30</f>
        <v>1895.48</v>
      </c>
    </row>
    <row r="29" spans="2:34" hidden="1">
      <c r="B29" s="158" t="s">
        <v>564</v>
      </c>
      <c r="C29" s="46" t="s">
        <v>565</v>
      </c>
      <c r="D29" s="160" t="s">
        <v>544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73"/>
      <c r="Q29" s="167"/>
      <c r="R29" s="167"/>
      <c r="S29" s="167"/>
      <c r="T29" s="1155"/>
      <c r="U29" s="1155"/>
      <c r="V29" s="1155"/>
      <c r="W29" s="167"/>
      <c r="X29" s="167"/>
      <c r="Y29" s="167"/>
      <c r="Z29" s="167"/>
    </row>
    <row r="30" spans="2:34" ht="35.1" hidden="1" customHeight="1">
      <c r="B30" s="158" t="s">
        <v>566</v>
      </c>
      <c r="C30" s="46" t="s">
        <v>567</v>
      </c>
      <c r="D30" s="160" t="s">
        <v>544</v>
      </c>
      <c r="E30" s="167">
        <f>'К ВО'!F221</f>
        <v>1824.06</v>
      </c>
      <c r="F30" s="167">
        <f>'К ВО'!G214</f>
        <v>1829.93</v>
      </c>
      <c r="G30" s="167">
        <f>'К ВО'!H221</f>
        <v>1809.86</v>
      </c>
      <c r="H30" s="167">
        <f>'К ВО'!I221</f>
        <v>1800</v>
      </c>
      <c r="I30" s="167">
        <f>'К ВО'!J221</f>
        <v>1887.69</v>
      </c>
      <c r="J30" s="167">
        <f>'К ВО'!K221</f>
        <v>1483.7600000000002</v>
      </c>
      <c r="K30" s="167">
        <f>I28/I46*K46</f>
        <v>9645.1418461798949</v>
      </c>
      <c r="L30" s="167"/>
      <c r="M30" s="167">
        <f>'К ВО'!L221</f>
        <v>1800</v>
      </c>
      <c r="N30" s="167">
        <f>'К ВО'!N221</f>
        <v>3170.6871690000021</v>
      </c>
      <c r="O30" s="167">
        <f>'К ВО'!S330</f>
        <v>1620.2659200000003</v>
      </c>
      <c r="P30" s="173">
        <v>1620.2659200000003</v>
      </c>
      <c r="Q30" s="167">
        <f>'К ВО'!V221</f>
        <v>1620.2659200000003</v>
      </c>
      <c r="R30" s="167">
        <v>1685.08</v>
      </c>
      <c r="S30" s="167">
        <f>'К ВО'!W221</f>
        <v>3566.591851670019</v>
      </c>
      <c r="T30" s="1155">
        <f>'Корректировка ВО'!G27</f>
        <v>1896.2</v>
      </c>
      <c r="U30" s="1155"/>
      <c r="V30" s="1155"/>
      <c r="W30" s="167">
        <f>'К ВО'!Y221</f>
        <v>3709.2555257368199</v>
      </c>
      <c r="X30" s="167">
        <v>1822.58</v>
      </c>
      <c r="Y30" s="167">
        <f>'К ВО'!AA221</f>
        <v>3857.6257467662927</v>
      </c>
      <c r="Z30" s="167">
        <v>1895.48</v>
      </c>
    </row>
    <row r="31" spans="2:34" hidden="1">
      <c r="B31" s="158" t="s">
        <v>568</v>
      </c>
      <c r="C31" s="46" t="s">
        <v>569</v>
      </c>
      <c r="D31" s="160" t="s">
        <v>353</v>
      </c>
      <c r="E31" s="167">
        <f t="shared" ref="E31:J31" si="2">E28/(E9+E27)</f>
        <v>3.4165854291504004E-2</v>
      </c>
      <c r="F31" s="167">
        <f t="shared" si="2"/>
        <v>4.6437501505211878E-3</v>
      </c>
      <c r="G31" s="167">
        <f t="shared" si="2"/>
        <v>2.0954988575228359E-2</v>
      </c>
      <c r="H31" s="167">
        <f t="shared" si="2"/>
        <v>4.1519922555588451E-3</v>
      </c>
      <c r="I31" s="167">
        <f t="shared" si="2"/>
        <v>1.7597652452264561E-2</v>
      </c>
      <c r="J31" s="167">
        <f t="shared" si="2"/>
        <v>2.7517330700368961E-3</v>
      </c>
      <c r="K31" s="167"/>
      <c r="L31" s="167"/>
      <c r="M31" s="167">
        <f>M28/(M9+M27)</f>
        <v>2.1292013251734791E-3</v>
      </c>
      <c r="N31" s="167">
        <f>N28/(N9+N27)</f>
        <v>4.493002734945452E-3</v>
      </c>
      <c r="O31" s="174">
        <f>O28/(O9+O27)*100</f>
        <v>0.18206075169330679</v>
      </c>
      <c r="P31" s="167">
        <v>0.26875990322728782</v>
      </c>
      <c r="Q31" s="167">
        <f t="shared" ref="Q31:Z31" si="3">Q28/(Q9+Q27)*100</f>
        <v>0.15930727997150446</v>
      </c>
      <c r="R31" s="167">
        <f t="shared" si="3"/>
        <v>0.27490875537192278</v>
      </c>
      <c r="S31" s="167">
        <f t="shared" si="3"/>
        <v>0.32144482891399301</v>
      </c>
      <c r="T31" s="1155">
        <f t="shared" si="3"/>
        <v>0.2786837793157308</v>
      </c>
      <c r="U31" s="1155"/>
      <c r="V31" s="1155"/>
      <c r="W31" s="167">
        <f t="shared" si="3"/>
        <v>0.32588475220036378</v>
      </c>
      <c r="X31" s="167">
        <f t="shared" si="3"/>
        <v>0.28572669459791272</v>
      </c>
      <c r="Y31" s="167">
        <f t="shared" si="3"/>
        <v>0.33164927725362231</v>
      </c>
      <c r="Z31" s="167">
        <f t="shared" si="3"/>
        <v>0.28207893384108079</v>
      </c>
    </row>
    <row r="32" spans="2:34">
      <c r="B32" s="160">
        <v>2</v>
      </c>
      <c r="C32" s="164" t="s">
        <v>1818</v>
      </c>
      <c r="D32" s="160" t="s">
        <v>544</v>
      </c>
      <c r="E32" s="165">
        <f>SUM(E35:E42)</f>
        <v>-101621.17</v>
      </c>
      <c r="F32" s="165">
        <f t="shared" ref="F32:Z32" si="4">SUM(F35:F42)</f>
        <v>38978.410000000003</v>
      </c>
      <c r="G32" s="165">
        <f t="shared" si="4"/>
        <v>-12384.07</v>
      </c>
      <c r="H32" s="165">
        <f t="shared" si="4"/>
        <v>0</v>
      </c>
      <c r="I32" s="166">
        <f t="shared" si="4"/>
        <v>-8426.7199999999993</v>
      </c>
      <c r="J32" s="165">
        <f t="shared" si="4"/>
        <v>0</v>
      </c>
      <c r="K32" s="165">
        <f>I32</f>
        <v>-8426.7199999999993</v>
      </c>
      <c r="L32" s="165"/>
      <c r="M32" s="166">
        <f t="shared" si="4"/>
        <v>45958.14</v>
      </c>
      <c r="N32" s="165">
        <f t="shared" si="4"/>
        <v>0</v>
      </c>
      <c r="O32" s="165">
        <v>0</v>
      </c>
      <c r="P32" s="663"/>
      <c r="Q32" s="165">
        <v>0</v>
      </c>
      <c r="R32" s="165">
        <v>-46127.87</v>
      </c>
      <c r="S32" s="165">
        <v>100000</v>
      </c>
      <c r="T32" s="640">
        <f>SUM(T35:T42)</f>
        <v>87641.780623255545</v>
      </c>
      <c r="U32" s="1188"/>
      <c r="V32" s="1188">
        <f>V33+V34+V35+V36+V37+V38+V41</f>
        <v>48503.77562325554</v>
      </c>
      <c r="W32" s="165">
        <v>100000</v>
      </c>
      <c r="X32" s="165">
        <f t="shared" si="4"/>
        <v>131107.64728557848</v>
      </c>
      <c r="Y32" s="165">
        <f t="shared" si="4"/>
        <v>0</v>
      </c>
      <c r="Z32" s="165">
        <f t="shared" si="4"/>
        <v>87718.559504395816</v>
      </c>
    </row>
    <row r="33" spans="2:29">
      <c r="B33" s="160"/>
      <c r="C33" s="164" t="s">
        <v>1811</v>
      </c>
      <c r="D33" s="160"/>
      <c r="E33" s="165"/>
      <c r="F33" s="165"/>
      <c r="G33" s="165"/>
      <c r="H33" s="165"/>
      <c r="I33" s="166"/>
      <c r="J33" s="165"/>
      <c r="K33" s="165"/>
      <c r="L33" s="165"/>
      <c r="M33" s="166"/>
      <c r="N33" s="165"/>
      <c r="O33" s="165"/>
      <c r="P33" s="663"/>
      <c r="Q33" s="165"/>
      <c r="R33" s="165"/>
      <c r="S33" s="165"/>
      <c r="T33" s="640"/>
      <c r="U33" s="1188"/>
      <c r="V33" s="1188">
        <f>'Корректировка ВО'!E38</f>
        <v>8474.702842072933</v>
      </c>
      <c r="W33" s="165"/>
      <c r="X33" s="165"/>
      <c r="Y33" s="165"/>
      <c r="Z33" s="165"/>
    </row>
    <row r="34" spans="2:29">
      <c r="B34" s="160"/>
      <c r="C34" s="164" t="s">
        <v>1812</v>
      </c>
      <c r="D34" s="160"/>
      <c r="E34" s="165"/>
      <c r="F34" s="165"/>
      <c r="G34" s="165"/>
      <c r="H34" s="165"/>
      <c r="I34" s="166"/>
      <c r="J34" s="165"/>
      <c r="K34" s="165"/>
      <c r="L34" s="165"/>
      <c r="M34" s="166"/>
      <c r="N34" s="165"/>
      <c r="O34" s="165"/>
      <c r="P34" s="663"/>
      <c r="Q34" s="165"/>
      <c r="R34" s="165"/>
      <c r="S34" s="165"/>
      <c r="T34" s="640"/>
      <c r="U34" s="1188"/>
      <c r="V34" s="1188">
        <v>-21624.74</v>
      </c>
      <c r="W34" s="165"/>
      <c r="X34" s="165"/>
      <c r="Y34" s="165"/>
      <c r="Z34" s="165"/>
    </row>
    <row r="35" spans="2:29" ht="33.75" customHeight="1" outlineLevel="1">
      <c r="B35" s="158" t="s">
        <v>198</v>
      </c>
      <c r="C35" s="46" t="s">
        <v>1761</v>
      </c>
      <c r="D35" s="160" t="s">
        <v>544</v>
      </c>
      <c r="E35" s="167">
        <f>'К ВО'!F204</f>
        <v>0</v>
      </c>
      <c r="F35" s="167">
        <f>'К ВО'!G204</f>
        <v>38978.410000000003</v>
      </c>
      <c r="G35" s="167"/>
      <c r="H35" s="167"/>
      <c r="I35" s="167"/>
      <c r="J35" s="167"/>
      <c r="K35" s="167"/>
      <c r="L35" s="167"/>
      <c r="M35" s="167">
        <v>57293.81</v>
      </c>
      <c r="N35" s="167"/>
      <c r="O35" s="167">
        <f>'[8]выпад. доходы'!C7</f>
        <v>338833.0917134948</v>
      </c>
      <c r="P35" s="173"/>
      <c r="Q35" s="167"/>
      <c r="R35" s="167"/>
      <c r="S35" s="167"/>
      <c r="T35" s="1504">
        <f>'Расшифровка выпад. расх.2018г'!G23/2-20000</f>
        <v>54063.264999999999</v>
      </c>
      <c r="U35" s="1508" t="s">
        <v>1798</v>
      </c>
      <c r="V35" s="1508">
        <f>16550+20000</f>
        <v>36550</v>
      </c>
      <c r="W35" s="167"/>
      <c r="X35" s="1508">
        <f>'Расшифровка выпад. расх.2018г'!G23/2+20000+17513.19</f>
        <v>111576.455</v>
      </c>
      <c r="Y35" s="167"/>
      <c r="Z35" s="167"/>
      <c r="AA35" s="1510"/>
    </row>
    <row r="36" spans="2:29" s="148" customFormat="1" ht="41.45" customHeight="1" outlineLevel="1">
      <c r="B36" s="175" t="s">
        <v>202</v>
      </c>
      <c r="C36" s="46" t="s">
        <v>571</v>
      </c>
      <c r="D36" s="176" t="s">
        <v>544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73">
        <v>4698.9146648265778</v>
      </c>
      <c r="Q36" s="167"/>
      <c r="R36" s="167">
        <v>-1458.42</v>
      </c>
      <c r="S36" s="167"/>
      <c r="T36" s="1432">
        <f>'Корректировка ВО'!E38</f>
        <v>8474.702842072933</v>
      </c>
      <c r="U36" s="167"/>
      <c r="V36" s="167"/>
      <c r="W36" s="167"/>
      <c r="X36" s="167"/>
      <c r="Y36" s="167"/>
      <c r="Z36" s="167"/>
      <c r="AA36" s="1518" t="s">
        <v>1802</v>
      </c>
    </row>
    <row r="37" spans="2:29" ht="76.5" customHeight="1" outlineLevel="1">
      <c r="B37" s="158" t="s">
        <v>206</v>
      </c>
      <c r="C37" s="46" t="s">
        <v>431</v>
      </c>
      <c r="D37" s="160" t="s">
        <v>544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73"/>
      <c r="Q37" s="167"/>
      <c r="R37" s="167"/>
      <c r="S37" s="167"/>
      <c r="T37" s="1504">
        <f>227219.74-71862.01-99945</f>
        <v>55412.729999999981</v>
      </c>
      <c r="U37" s="1504" t="s">
        <v>1799</v>
      </c>
      <c r="V37" s="1504">
        <f>227219.74-71862.01-99945</f>
        <v>55412.729999999981</v>
      </c>
      <c r="W37" s="167"/>
      <c r="X37" s="1508">
        <f>-(('К ВО'!U10-'К ВО'!V10)+('К ВО'!U17-'К ВО'!V17)+('К ВО'!U176-'К ВО'!V176)+('К ВО'!U189-'К ВО'!V189))/3</f>
        <v>87718.559504395816</v>
      </c>
      <c r="Y37" s="1543" t="s">
        <v>1801</v>
      </c>
      <c r="Z37" s="1508">
        <f>X37</f>
        <v>87718.559504395816</v>
      </c>
      <c r="AA37" s="1519">
        <f>Z37</f>
        <v>87718.559504395816</v>
      </c>
    </row>
    <row r="38" spans="2:29" ht="27.6" customHeight="1" outlineLevel="1">
      <c r="B38" s="158" t="s">
        <v>572</v>
      </c>
      <c r="C38" s="46" t="s">
        <v>573</v>
      </c>
      <c r="D38" s="160" t="s">
        <v>544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73">
        <v>-18992.052510356534</v>
      </c>
      <c r="Q38" s="167"/>
      <c r="R38" s="167">
        <v>-21002.04</v>
      </c>
      <c r="S38" s="167"/>
      <c r="T38" s="1507">
        <f>-9121.55</f>
        <v>-9121.5499999999993</v>
      </c>
      <c r="U38" s="1504" t="s">
        <v>1794</v>
      </c>
      <c r="V38" s="1504">
        <f>T38</f>
        <v>-9121.5499999999993</v>
      </c>
      <c r="W38" s="167"/>
      <c r="X38" s="1508">
        <v>-47000</v>
      </c>
      <c r="Y38" s="1504" t="s">
        <v>1803</v>
      </c>
      <c r="Z38" s="167"/>
      <c r="AB38" s="146">
        <f>AA37*3</f>
        <v>263155.67851318745</v>
      </c>
      <c r="AC38" s="145">
        <f>P38+P39+P42</f>
        <v>-27600.616969155035</v>
      </c>
    </row>
    <row r="39" spans="2:29" ht="30" customHeight="1" outlineLevel="1">
      <c r="B39" s="158" t="s">
        <v>574</v>
      </c>
      <c r="C39" s="46" t="s">
        <v>575</v>
      </c>
      <c r="D39" s="160" t="s">
        <v>544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665">
        <v>-1382.5930000000008</v>
      </c>
      <c r="Q39" s="167"/>
      <c r="R39" s="665"/>
      <c r="S39" s="167"/>
      <c r="T39" s="1155"/>
      <c r="U39" s="167"/>
      <c r="V39" s="167"/>
      <c r="W39" s="167"/>
      <c r="X39" s="167"/>
      <c r="Y39" s="167"/>
      <c r="Z39" s="167"/>
    </row>
    <row r="40" spans="2:29" ht="23.1" hidden="1" customHeight="1" outlineLevel="1">
      <c r="B40" s="158" t="s">
        <v>576</v>
      </c>
      <c r="C40" s="46" t="s">
        <v>476</v>
      </c>
      <c r="D40" s="160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73"/>
      <c r="Q40" s="167"/>
      <c r="R40" s="167"/>
      <c r="S40" s="167"/>
      <c r="T40" s="1192"/>
      <c r="U40" s="1192"/>
      <c r="V40" s="1192"/>
      <c r="W40" s="167"/>
      <c r="X40" s="167"/>
      <c r="Y40" s="167"/>
      <c r="Z40" s="167"/>
    </row>
    <row r="41" spans="2:29" ht="23.1" customHeight="1" outlineLevel="1">
      <c r="B41" s="158"/>
      <c r="C41" s="1367" t="s">
        <v>1468</v>
      </c>
      <c r="D41" s="160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73"/>
      <c r="Q41" s="167"/>
      <c r="R41" s="167"/>
      <c r="S41" s="167"/>
      <c r="T41" s="1507">
        <f>S101</f>
        <v>-21187.367218817362</v>
      </c>
      <c r="U41" s="1504" t="s">
        <v>1399</v>
      </c>
      <c r="V41" s="1504">
        <f>T41</f>
        <v>-21187.367218817362</v>
      </c>
      <c r="W41" s="167"/>
      <c r="X41" s="1508">
        <f>T41</f>
        <v>-21187.367218817362</v>
      </c>
      <c r="Y41" s="167"/>
      <c r="Z41" s="167"/>
    </row>
    <row r="42" spans="2:29" ht="23.1" customHeight="1">
      <c r="B42" s="158" t="s">
        <v>609</v>
      </c>
      <c r="C42" s="46" t="s">
        <v>610</v>
      </c>
      <c r="D42" s="160"/>
      <c r="E42" s="167">
        <v>-101621.17</v>
      </c>
      <c r="F42" s="167"/>
      <c r="G42" s="167">
        <v>-12384.07</v>
      </c>
      <c r="H42" s="167"/>
      <c r="I42" s="167">
        <v>-8426.7199999999993</v>
      </c>
      <c r="J42" s="167"/>
      <c r="K42" s="167"/>
      <c r="L42" s="167"/>
      <c r="M42" s="167">
        <v>-11335.67</v>
      </c>
      <c r="N42" s="167"/>
      <c r="O42" s="167"/>
      <c r="P42" s="173">
        <v>-7225.9714587985</v>
      </c>
      <c r="Q42" s="167"/>
      <c r="R42" s="167">
        <v>-44046.75</v>
      </c>
      <c r="S42" s="167"/>
      <c r="T42" s="1440"/>
      <c r="U42" s="1192"/>
      <c r="V42" s="1192"/>
      <c r="W42" s="167"/>
      <c r="X42" s="227">
        <f>T42</f>
        <v>0</v>
      </c>
      <c r="Y42" s="167"/>
      <c r="Z42" s="167"/>
    </row>
    <row r="43" spans="2:29" s="180" customFormat="1">
      <c r="B43" s="177"/>
      <c r="C43" s="178" t="s">
        <v>578</v>
      </c>
      <c r="D43" s="179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>
        <v>40854.839999999997</v>
      </c>
      <c r="S43" s="166"/>
      <c r="T43" s="1344">
        <v>-65000</v>
      </c>
      <c r="U43" s="1344"/>
      <c r="V43" s="1344">
        <f>-55412.73-20000</f>
        <v>-75412.73000000001</v>
      </c>
      <c r="W43" s="166"/>
      <c r="X43" s="166">
        <f>-130000+45000+15000+2000+3600+696.14+25500-17700-10000</f>
        <v>-65903.86</v>
      </c>
      <c r="Y43" s="166"/>
      <c r="Z43" s="166"/>
      <c r="AA43" s="1439">
        <f>SUM(R43:Z43)</f>
        <v>-165461.75</v>
      </c>
    </row>
    <row r="44" spans="2:29">
      <c r="B44" s="158" t="s">
        <v>579</v>
      </c>
      <c r="C44" s="159" t="s">
        <v>580</v>
      </c>
      <c r="D44" s="160" t="s">
        <v>581</v>
      </c>
      <c r="E44" s="181">
        <f t="shared" ref="E44:K44" si="5">E9+E27+E28+E32</f>
        <v>310764.74153873918</v>
      </c>
      <c r="F44" s="181">
        <f t="shared" si="5"/>
        <v>434871.3151139</v>
      </c>
      <c r="G44" s="181">
        <f t="shared" si="5"/>
        <v>438045.14617651195</v>
      </c>
      <c r="H44" s="181">
        <f t="shared" si="5"/>
        <v>609781.6248968069</v>
      </c>
      <c r="I44" s="181">
        <f t="shared" si="5"/>
        <v>905220.31061156152</v>
      </c>
      <c r="J44" s="181">
        <f t="shared" si="5"/>
        <v>540693.03729378397</v>
      </c>
      <c r="K44" s="181">
        <f t="shared" si="5"/>
        <v>687493.15469974966</v>
      </c>
      <c r="L44" s="181">
        <f>K46*I45</f>
        <v>552593.56315769209</v>
      </c>
      <c r="M44" s="182">
        <f>M9+M27+M28+M32</f>
        <v>893145.55297906289</v>
      </c>
      <c r="N44" s="181">
        <f>N9+N27+N28+N32</f>
        <v>708865.15388703474</v>
      </c>
      <c r="O44" s="181">
        <f>O9+O27+O28+O32</f>
        <v>891579.19717248867</v>
      </c>
      <c r="P44" s="662">
        <v>581585.9930736128</v>
      </c>
      <c r="Q44" s="181">
        <f>Q9+Q27+Q28+Q32</f>
        <v>1018689.8689474448</v>
      </c>
      <c r="R44" s="181">
        <f t="shared" ref="R44:Z44" si="6">R9+R27+R28+R32+R43</f>
        <v>609371.79285004595</v>
      </c>
      <c r="S44" s="181">
        <f t="shared" si="6"/>
        <v>1213116.8259368823</v>
      </c>
      <c r="T44" s="1193">
        <f>T9+T27+T28+T32+T43</f>
        <v>704950.7425916252</v>
      </c>
      <c r="U44" s="1193"/>
      <c r="V44" s="1530">
        <f>V9+V27+V28+V32+V43</f>
        <v>655400.00759162521</v>
      </c>
      <c r="W44" s="181">
        <f t="shared" si="6"/>
        <v>1241920.080270387</v>
      </c>
      <c r="X44" s="181">
        <f>X9+X27+X28+X32+X43</f>
        <v>704901.66366445378</v>
      </c>
      <c r="Y44" s="181">
        <f t="shared" si="6"/>
        <v>1167021.8511330464</v>
      </c>
      <c r="Z44" s="181">
        <f t="shared" si="6"/>
        <v>761581.97918325395</v>
      </c>
      <c r="AA44" s="224">
        <f>Z44+X44+T44+R44+P44</f>
        <v>3362392.1713629919</v>
      </c>
    </row>
    <row r="45" spans="2:29" ht="12.75" customHeight="1">
      <c r="B45" s="158" t="s">
        <v>582</v>
      </c>
      <c r="C45" s="164" t="s">
        <v>611</v>
      </c>
      <c r="D45" s="160" t="s">
        <v>584</v>
      </c>
      <c r="E45" s="165">
        <f>E44/E46</f>
        <v>6.3439876963861339</v>
      </c>
      <c r="F45" s="165">
        <f t="shared" ref="F45:Z45" si="7">F44/F46</f>
        <v>13.810805059296058</v>
      </c>
      <c r="G45" s="165">
        <f t="shared" si="7"/>
        <v>8.1267197219336484</v>
      </c>
      <c r="H45" s="165">
        <f t="shared" si="7"/>
        <v>18.378578506331319</v>
      </c>
      <c r="I45" s="165">
        <f t="shared" si="7"/>
        <v>16.560184870806044</v>
      </c>
      <c r="J45" s="165">
        <f t="shared" si="7"/>
        <v>16.203548598678694</v>
      </c>
      <c r="K45" s="165"/>
      <c r="L45" s="165"/>
      <c r="M45" s="165">
        <f>M44/M46</f>
        <v>16.569852772726552</v>
      </c>
      <c r="N45" s="165">
        <f t="shared" si="7"/>
        <v>20.53975514176966</v>
      </c>
      <c r="O45" s="228">
        <f>O44/O46</f>
        <v>24.644703377585888</v>
      </c>
      <c r="P45" s="663">
        <v>16.705337273133022</v>
      </c>
      <c r="Q45" s="228">
        <f t="shared" si="7"/>
        <v>26.667094646704729</v>
      </c>
      <c r="R45" s="165">
        <f t="shared" si="7"/>
        <v>17.330148470298411</v>
      </c>
      <c r="S45" s="228">
        <f t="shared" si="7"/>
        <v>33.824000641977435</v>
      </c>
      <c r="T45" s="1188">
        <f>T44/T46</f>
        <v>19.6553653038048</v>
      </c>
      <c r="U45" s="1188"/>
      <c r="V45" s="1188"/>
      <c r="W45" s="228">
        <f t="shared" si="7"/>
        <v>34.301844062907421</v>
      </c>
      <c r="X45" s="165">
        <f>X44/X46</f>
        <v>19.651953328842197</v>
      </c>
      <c r="Y45" s="228">
        <f t="shared" si="7"/>
        <v>31.930240792820602</v>
      </c>
      <c r="Z45" s="165">
        <f t="shared" si="7"/>
        <v>21.021924587061154</v>
      </c>
    </row>
    <row r="46" spans="2:29">
      <c r="B46" s="158" t="s">
        <v>585</v>
      </c>
      <c r="C46" s="164" t="s">
        <v>612</v>
      </c>
      <c r="D46" s="160" t="s">
        <v>587</v>
      </c>
      <c r="E46" s="165">
        <v>48985.71</v>
      </c>
      <c r="F46" s="165">
        <v>31487.759999999998</v>
      </c>
      <c r="G46" s="165">
        <v>53901.84</v>
      </c>
      <c r="H46" s="165">
        <v>33178.932999999997</v>
      </c>
      <c r="I46" s="165">
        <v>54662.451999999997</v>
      </c>
      <c r="J46" s="165">
        <v>33368.803999999996</v>
      </c>
      <c r="K46" s="165">
        <v>33368.803999999996</v>
      </c>
      <c r="L46" s="165"/>
      <c r="M46" s="165">
        <v>53901.84</v>
      </c>
      <c r="N46" s="165">
        <v>34511.86</v>
      </c>
      <c r="O46" s="165">
        <v>36177.315000000002</v>
      </c>
      <c r="P46" s="663">
        <v>34814.381988501962</v>
      </c>
      <c r="Q46" s="165">
        <v>38200.256999999998</v>
      </c>
      <c r="R46" s="165">
        <v>35162.525808386978</v>
      </c>
      <c r="S46" s="165">
        <v>35865.563000000002</v>
      </c>
      <c r="T46" s="1188">
        <f>S46</f>
        <v>35865.563000000002</v>
      </c>
      <c r="U46" s="1188"/>
      <c r="V46" s="1188"/>
      <c r="W46" s="165">
        <v>36205.635999999999</v>
      </c>
      <c r="X46" s="165">
        <v>35869.292577135559</v>
      </c>
      <c r="Y46" s="165">
        <v>36549.108999999997</v>
      </c>
      <c r="Z46" s="165">
        <v>36227.985502906915</v>
      </c>
    </row>
    <row r="47" spans="2:29">
      <c r="B47" s="160">
        <v>6</v>
      </c>
      <c r="C47" s="46" t="s">
        <v>1317</v>
      </c>
      <c r="D47" s="160" t="s">
        <v>353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83">
        <f>N45/M45-1</f>
        <v>0.23958585652477504</v>
      </c>
      <c r="O47" s="183">
        <f>O45/M45-1</f>
        <v>0.48732180759929755</v>
      </c>
      <c r="P47" s="654"/>
      <c r="Q47" s="183">
        <f>Q45/O45-1</f>
        <v>8.2061903449736295E-2</v>
      </c>
      <c r="R47" s="183"/>
      <c r="S47" s="183">
        <f>S45/Q45-1</f>
        <v>0.26837966752996434</v>
      </c>
      <c r="T47" s="1194"/>
      <c r="U47" s="1194"/>
      <c r="V47" s="1194"/>
      <c r="W47" s="183">
        <f>W45/S45-1</f>
        <v>1.4127347796255574E-2</v>
      </c>
      <c r="X47" s="183"/>
      <c r="Y47" s="183">
        <f>Y45/W45-1</f>
        <v>-6.9139235364065188E-2</v>
      </c>
      <c r="Z47" s="183"/>
    </row>
    <row r="48" spans="2:29">
      <c r="B48" s="160"/>
      <c r="C48" s="164" t="s">
        <v>613</v>
      </c>
      <c r="D48" s="184"/>
      <c r="E48" s="185">
        <v>50506.144999999997</v>
      </c>
      <c r="F48" s="185">
        <v>50676.604999999996</v>
      </c>
      <c r="G48" s="185">
        <v>59323.256999999998</v>
      </c>
      <c r="H48" s="185">
        <v>55850.64</v>
      </c>
      <c r="I48" s="185">
        <v>60131</v>
      </c>
      <c r="J48" s="185">
        <v>52400.414064000004</v>
      </c>
      <c r="K48" s="185">
        <v>52400.414064000004</v>
      </c>
      <c r="L48" s="188"/>
      <c r="M48" s="732">
        <v>59250.48</v>
      </c>
      <c r="N48" s="188">
        <v>52569.283999999992</v>
      </c>
      <c r="O48" s="188">
        <v>34814.379999999997</v>
      </c>
      <c r="P48" s="188">
        <v>34814.379999999997</v>
      </c>
      <c r="Q48" s="188">
        <f>R46</f>
        <v>35162.525808386978</v>
      </c>
      <c r="R48" s="188">
        <v>34814.379999999997</v>
      </c>
      <c r="S48" s="188">
        <f>T46</f>
        <v>35865.563000000002</v>
      </c>
      <c r="T48" s="1195">
        <f>T46</f>
        <v>35865.563000000002</v>
      </c>
      <c r="U48" s="1195"/>
      <c r="V48" s="1195">
        <f>'К ВО'!X340</f>
        <v>35865.563000000002</v>
      </c>
      <c r="W48" s="188">
        <f>X46</f>
        <v>35869.292577135559</v>
      </c>
      <c r="X48" s="188">
        <v>36205.635999999999</v>
      </c>
      <c r="Y48" s="188">
        <f>Z46</f>
        <v>36227.985502906915</v>
      </c>
      <c r="Z48" s="188">
        <v>36549.108999999997</v>
      </c>
    </row>
    <row r="49" spans="2:26">
      <c r="B49" s="160"/>
      <c r="C49" s="164" t="s">
        <v>589</v>
      </c>
      <c r="D49" s="184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6"/>
      <c r="Q49" s="187"/>
      <c r="R49" s="187"/>
      <c r="S49" s="187"/>
      <c r="T49" s="1196"/>
      <c r="U49" s="1196"/>
      <c r="V49" s="1196"/>
      <c r="W49" s="187"/>
      <c r="X49" s="187"/>
      <c r="Y49" s="187"/>
      <c r="Z49" s="187"/>
    </row>
    <row r="50" spans="2:26">
      <c r="B50" s="160"/>
      <c r="C50" s="164" t="s">
        <v>590</v>
      </c>
      <c r="D50" s="160"/>
      <c r="E50" s="167"/>
      <c r="F50" s="167"/>
      <c r="G50" s="167"/>
      <c r="H50" s="167"/>
      <c r="I50" s="167"/>
      <c r="J50" s="167"/>
      <c r="K50" s="167"/>
      <c r="L50" s="167"/>
      <c r="M50" s="167">
        <v>16.57</v>
      </c>
      <c r="N50" s="167">
        <f>N44/N48</f>
        <v>13.484398111395903</v>
      </c>
      <c r="O50" s="167">
        <f>O44/O48</f>
        <v>25.609509552446109</v>
      </c>
      <c r="P50" s="168"/>
      <c r="Q50" s="169">
        <f>Q44/Q48</f>
        <v>28.970895734244056</v>
      </c>
      <c r="R50" s="169"/>
      <c r="S50" s="169">
        <f t="shared" ref="S50:Y50" si="8">S44/S48</f>
        <v>33.824000641977435</v>
      </c>
      <c r="T50" s="1197">
        <f t="shared" si="8"/>
        <v>19.6553653038048</v>
      </c>
      <c r="U50" s="1197"/>
      <c r="V50" s="1196">
        <f>V44/V48</f>
        <v>18.273796722266013</v>
      </c>
      <c r="W50" s="169">
        <f t="shared" si="8"/>
        <v>34.623489649250395</v>
      </c>
      <c r="X50" s="169">
        <f>X44/X48</f>
        <v>19.469390446958418</v>
      </c>
      <c r="Y50" s="169">
        <f t="shared" si="8"/>
        <v>32.213269242900772</v>
      </c>
      <c r="Z50" s="169"/>
    </row>
    <row r="51" spans="2:26">
      <c r="B51" s="160">
        <v>7</v>
      </c>
      <c r="C51" s="189" t="s">
        <v>1309</v>
      </c>
      <c r="D51" s="160" t="s">
        <v>353</v>
      </c>
      <c r="E51" s="167"/>
      <c r="F51" s="167"/>
      <c r="G51" s="183">
        <f>G46/E46-1</f>
        <v>0.10035845147493005</v>
      </c>
      <c r="H51" s="167"/>
      <c r="I51" s="183">
        <f>I46/G46-1</f>
        <v>1.4111058175379609E-2</v>
      </c>
      <c r="J51" s="167"/>
      <c r="K51" s="167"/>
      <c r="L51" s="167">
        <f>K44-L44+L19</f>
        <v>72748.398960235179</v>
      </c>
      <c r="M51" s="183">
        <v>0</v>
      </c>
      <c r="N51" s="183">
        <f>N50/M50-1</f>
        <v>-0.18621616708534083</v>
      </c>
      <c r="O51" s="183">
        <f>O50/M50-1</f>
        <v>0.54553467425745983</v>
      </c>
      <c r="P51" s="654"/>
      <c r="Q51" s="183">
        <f>Q50/O50-1</f>
        <v>0.13125539069438696</v>
      </c>
      <c r="R51" s="183"/>
      <c r="S51" s="183">
        <f>S50/Q50-1</f>
        <v>0.16751656394237524</v>
      </c>
      <c r="T51" s="1194"/>
      <c r="U51" s="1194"/>
      <c r="V51" s="1194"/>
      <c r="W51" s="183">
        <f>W50/S50-1</f>
        <v>2.3636736994403718E-2</v>
      </c>
      <c r="X51" s="183"/>
      <c r="Y51" s="183">
        <f>Y50/W50-1</f>
        <v>-6.9612290117666009E-2</v>
      </c>
      <c r="Z51" s="169"/>
    </row>
    <row r="52" spans="2:26">
      <c r="B52" s="190"/>
      <c r="C52" s="191"/>
      <c r="D52" s="190"/>
      <c r="E52" s="192"/>
      <c r="F52" s="192"/>
      <c r="G52" s="192"/>
      <c r="H52" s="192"/>
      <c r="I52" s="192"/>
      <c r="J52" s="229"/>
      <c r="K52" s="229"/>
      <c r="L52" s="229">
        <f>-[8]ОТЧЕТ!B37</f>
        <v>-68374.231254237297</v>
      </c>
      <c r="M52" s="229"/>
      <c r="N52" s="229"/>
      <c r="O52" s="229"/>
      <c r="P52" s="230"/>
      <c r="Q52" s="1511"/>
      <c r="R52" s="1512"/>
      <c r="S52" s="1513"/>
      <c r="T52" s="1198"/>
      <c r="U52" s="1198"/>
      <c r="V52" s="1198"/>
      <c r="W52" s="1514"/>
      <c r="X52" s="1515"/>
      <c r="Y52" s="1514"/>
      <c r="Z52" s="232"/>
    </row>
    <row r="53" spans="2:26">
      <c r="B53" s="190"/>
      <c r="C53" s="685" t="s">
        <v>1316</v>
      </c>
      <c r="D53" s="190"/>
      <c r="E53" s="192"/>
      <c r="F53" s="192"/>
      <c r="G53" s="192"/>
      <c r="H53" s="192"/>
      <c r="I53" s="192"/>
      <c r="J53" s="229"/>
      <c r="K53" s="229"/>
      <c r="L53" s="229"/>
      <c r="M53" s="229"/>
      <c r="N53" s="229"/>
      <c r="O53" s="229"/>
      <c r="P53" s="230"/>
      <c r="Q53" s="231"/>
      <c r="R53" s="231"/>
      <c r="S53" s="231" t="s">
        <v>1480</v>
      </c>
      <c r="T53" s="1198">
        <f>T45*1.2</f>
        <v>23.586438364565758</v>
      </c>
      <c r="U53" s="1198"/>
      <c r="V53" s="1198"/>
      <c r="W53" s="232"/>
      <c r="X53" s="232" t="s">
        <v>1481</v>
      </c>
      <c r="Y53" s="232"/>
      <c r="Z53" s="232"/>
    </row>
    <row r="54" spans="2:26">
      <c r="B54" s="190"/>
      <c r="C54" s="191"/>
      <c r="D54" s="190"/>
      <c r="E54" s="192"/>
      <c r="F54" s="192"/>
      <c r="G54" s="192"/>
      <c r="H54" s="192"/>
      <c r="I54" s="192"/>
      <c r="J54" s="229"/>
      <c r="K54" s="229"/>
      <c r="L54" s="229"/>
      <c r="M54" s="229"/>
      <c r="N54" s="229"/>
      <c r="O54" s="229"/>
      <c r="P54" s="230"/>
      <c r="Q54" s="231"/>
      <c r="R54" s="231"/>
      <c r="S54" s="231"/>
      <c r="T54" s="1207">
        <v>22.47</v>
      </c>
      <c r="U54" s="1207"/>
      <c r="V54" s="1207"/>
      <c r="W54" s="232"/>
      <c r="X54" s="232"/>
      <c r="Y54" s="232"/>
      <c r="Z54" s="232"/>
    </row>
    <row r="55" spans="2:26">
      <c r="B55" s="190"/>
      <c r="C55" s="658" t="s">
        <v>1276</v>
      </c>
      <c r="D55" s="659"/>
      <c r="E55" s="649"/>
      <c r="F55" s="649"/>
      <c r="G55" s="649"/>
      <c r="H55" s="649"/>
      <c r="I55" s="649"/>
      <c r="J55" s="657"/>
      <c r="K55" s="657"/>
      <c r="L55" s="657"/>
      <c r="M55" s="657">
        <f>M44-'К ВО'!L332</f>
        <v>0</v>
      </c>
      <c r="N55" s="660">
        <f>N44-'К ВО'!N332</f>
        <v>0</v>
      </c>
      <c r="O55" s="660">
        <f>O44-'К ВО'!S332</f>
        <v>0</v>
      </c>
      <c r="P55" s="660"/>
      <c r="Q55" s="660">
        <f>Q44-'К ВО'!V332</f>
        <v>0</v>
      </c>
      <c r="R55" s="660"/>
      <c r="S55" s="660">
        <f>S44-'К ВО'!W332</f>
        <v>0</v>
      </c>
      <c r="T55" s="1199"/>
      <c r="U55" s="1199"/>
      <c r="V55" s="1199"/>
      <c r="W55" s="661">
        <f>W44-'К ВО'!Y332</f>
        <v>0</v>
      </c>
      <c r="X55" s="661"/>
      <c r="Y55" s="661">
        <f>Y44-'К ВО'!AA332</f>
        <v>0</v>
      </c>
      <c r="Z55" s="661"/>
    </row>
    <row r="56" spans="2:26">
      <c r="B56" s="190"/>
      <c r="C56" s="658"/>
      <c r="D56" s="659"/>
      <c r="E56" s="649"/>
      <c r="F56" s="649"/>
      <c r="G56" s="649"/>
      <c r="H56" s="649"/>
      <c r="I56" s="649"/>
      <c r="J56" s="657"/>
      <c r="K56" s="657"/>
      <c r="L56" s="657"/>
      <c r="M56" s="657"/>
      <c r="N56" s="657"/>
      <c r="O56" s="660"/>
      <c r="P56" s="660"/>
      <c r="Q56" s="660"/>
      <c r="R56" s="660"/>
      <c r="S56" s="660"/>
      <c r="T56" s="1199"/>
      <c r="U56" s="1199"/>
      <c r="V56" s="1199"/>
      <c r="W56" s="661"/>
      <c r="X56" s="661"/>
      <c r="Y56" s="661"/>
      <c r="Z56" s="661"/>
    </row>
    <row r="57" spans="2:26">
      <c r="B57" s="190"/>
      <c r="C57" s="658" t="s">
        <v>1277</v>
      </c>
      <c r="D57" s="659"/>
      <c r="E57" s="649"/>
      <c r="F57" s="649"/>
      <c r="G57" s="649"/>
      <c r="H57" s="649"/>
      <c r="I57" s="649"/>
      <c r="J57" s="657"/>
      <c r="K57" s="657"/>
      <c r="L57" s="657"/>
      <c r="M57" s="657"/>
      <c r="N57" s="660">
        <f>N45-'К ВО'!N347</f>
        <v>1.1903005646018983E-5</v>
      </c>
      <c r="O57" s="660">
        <f>O45-'К ВО'!S347</f>
        <v>0</v>
      </c>
      <c r="P57" s="660"/>
      <c r="Q57" s="660">
        <f>Q45-'К ВО'!V347</f>
        <v>0</v>
      </c>
      <c r="R57" s="660"/>
      <c r="S57" s="660">
        <f>S45-'К ВО'!W347</f>
        <v>0</v>
      </c>
      <c r="T57" s="1199"/>
      <c r="U57" s="1199"/>
      <c r="V57" s="1199"/>
      <c r="W57" s="661">
        <f>W45-'К ВО'!Y347</f>
        <v>0</v>
      </c>
      <c r="X57" s="661"/>
      <c r="Y57" s="661">
        <f>Y45-'К ВО'!AA347</f>
        <v>0</v>
      </c>
      <c r="Z57" s="661"/>
    </row>
    <row r="58" spans="2:26">
      <c r="J58" s="233"/>
      <c r="K58" s="233"/>
      <c r="L58" s="234">
        <f>L51+L52</f>
        <v>4374.1677059978829</v>
      </c>
      <c r="M58" s="233">
        <f>M50-'К ВО'!L349</f>
        <v>16.57</v>
      </c>
      <c r="N58" s="233"/>
      <c r="O58" s="233"/>
      <c r="P58" s="235">
        <v>2021</v>
      </c>
      <c r="Q58" s="232"/>
      <c r="R58" s="232"/>
      <c r="S58" s="1181" t="s">
        <v>1471</v>
      </c>
      <c r="T58" s="1198"/>
      <c r="U58" s="1198"/>
      <c r="V58" s="1198"/>
      <c r="W58" s="232" t="s">
        <v>1469</v>
      </c>
      <c r="X58" s="232"/>
      <c r="Y58" s="232"/>
      <c r="Z58" s="232"/>
    </row>
    <row r="59" spans="2:26" hidden="1">
      <c r="J59" s="233"/>
      <c r="K59" s="233"/>
      <c r="L59" s="233"/>
      <c r="M59" s="233"/>
      <c r="N59" s="233" t="s">
        <v>614</v>
      </c>
      <c r="O59" s="233">
        <f>O45*1.18</f>
        <v>29.080749985551346</v>
      </c>
      <c r="P59" s="235">
        <v>19.712297982296963</v>
      </c>
      <c r="Q59" s="232">
        <f t="shared" ref="Q59:Z59" si="9">Q45*1.18</f>
        <v>31.46717168311158</v>
      </c>
      <c r="R59" s="232">
        <f t="shared" si="9"/>
        <v>20.449575194952125</v>
      </c>
      <c r="S59" s="232">
        <f t="shared" si="9"/>
        <v>39.912320757533372</v>
      </c>
      <c r="T59" s="1198">
        <f t="shared" si="9"/>
        <v>23.193331058489662</v>
      </c>
      <c r="U59" s="1198"/>
      <c r="V59" s="1198"/>
      <c r="W59" s="232">
        <f t="shared" si="9"/>
        <v>40.476175994230758</v>
      </c>
      <c r="X59" s="232">
        <f t="shared" si="9"/>
        <v>23.189304928033792</v>
      </c>
      <c r="Y59" s="232">
        <f t="shared" si="9"/>
        <v>37.67768413552831</v>
      </c>
      <c r="Z59" s="232">
        <f t="shared" si="9"/>
        <v>24.805871012732162</v>
      </c>
    </row>
    <row r="60" spans="2:26" ht="15.75" hidden="1" customHeight="1">
      <c r="E60" s="1665" t="s">
        <v>592</v>
      </c>
      <c r="F60" s="1665" t="s">
        <v>593</v>
      </c>
      <c r="G60" s="1667" t="s">
        <v>594</v>
      </c>
      <c r="H60" s="1668"/>
      <c r="I60" s="1669"/>
      <c r="J60" s="1667" t="s">
        <v>595</v>
      </c>
      <c r="K60" s="1668"/>
      <c r="L60" s="1669"/>
      <c r="M60" s="1667" t="s">
        <v>596</v>
      </c>
      <c r="N60" s="1668"/>
      <c r="O60" s="1669"/>
      <c r="P60" s="1673" t="s">
        <v>597</v>
      </c>
      <c r="Q60" s="1660"/>
      <c r="R60" s="1661"/>
      <c r="S60" s="1673" t="s">
        <v>598</v>
      </c>
      <c r="T60" s="1660"/>
      <c r="U60" s="1660"/>
      <c r="V60" s="1660"/>
      <c r="W60" s="1661"/>
      <c r="X60" s="1673" t="s">
        <v>599</v>
      </c>
      <c r="Y60" s="1660"/>
      <c r="Z60" s="1661"/>
    </row>
    <row r="61" spans="2:26" ht="24" hidden="1">
      <c r="E61" s="1666"/>
      <c r="F61" s="1666"/>
      <c r="G61" s="199" t="s">
        <v>600</v>
      </c>
      <c r="H61" s="199" t="s">
        <v>601</v>
      </c>
      <c r="I61" s="200" t="s">
        <v>602</v>
      </c>
      <c r="J61" s="199" t="s">
        <v>600</v>
      </c>
      <c r="K61" s="199" t="s">
        <v>601</v>
      </c>
      <c r="L61" s="200" t="s">
        <v>602</v>
      </c>
      <c r="M61" s="199" t="s">
        <v>600</v>
      </c>
      <c r="N61" s="199" t="s">
        <v>601</v>
      </c>
      <c r="O61" s="200" t="s">
        <v>602</v>
      </c>
      <c r="P61" s="236" t="s">
        <v>600</v>
      </c>
      <c r="Q61" s="202" t="s">
        <v>601</v>
      </c>
      <c r="R61" s="203" t="s">
        <v>602</v>
      </c>
      <c r="S61" s="202" t="s">
        <v>600</v>
      </c>
      <c r="T61" s="1165" t="s">
        <v>601</v>
      </c>
      <c r="U61" s="1165"/>
      <c r="V61" s="1165"/>
      <c r="W61" s="203" t="s">
        <v>602</v>
      </c>
      <c r="X61" s="202" t="s">
        <v>600</v>
      </c>
      <c r="Y61" s="202" t="s">
        <v>601</v>
      </c>
      <c r="Z61" s="203" t="s">
        <v>602</v>
      </c>
    </row>
    <row r="62" spans="2:26" hidden="1">
      <c r="E62" s="204" t="s">
        <v>556</v>
      </c>
      <c r="F62" s="205" t="s">
        <v>136</v>
      </c>
      <c r="G62" s="206">
        <v>16.559999999999999</v>
      </c>
      <c r="H62" s="207">
        <f>ROUND(H64/H63,2)</f>
        <v>16.579999999999998</v>
      </c>
      <c r="I62" s="208">
        <f>ROUND(I64/I63,2)</f>
        <v>16.57</v>
      </c>
      <c r="J62" s="209">
        <f>H62</f>
        <v>16.579999999999998</v>
      </c>
      <c r="K62" s="208">
        <f>ROUND(K64/K63,2)</f>
        <v>16.829999999999998</v>
      </c>
      <c r="L62" s="208">
        <f>ROUND(L64/L63,2)</f>
        <v>16.71</v>
      </c>
      <c r="M62" s="209">
        <f>K62</f>
        <v>16.829999999999998</v>
      </c>
      <c r="N62" s="210">
        <f>ROUND(N64/N63,2)</f>
        <v>17.829999999999998</v>
      </c>
      <c r="O62" s="208">
        <f>ROUND(O64/O63,2)</f>
        <v>17.329999999999998</v>
      </c>
      <c r="P62" s="237">
        <v>17.420000000000002</v>
      </c>
      <c r="Q62" s="210">
        <f>ROUND(Q64/Q63,2)</f>
        <v>22.28</v>
      </c>
      <c r="R62" s="210">
        <f>ROUND(R64/R63,2)</f>
        <v>19.850000000000001</v>
      </c>
      <c r="S62" s="209">
        <f>Q62</f>
        <v>22.28</v>
      </c>
      <c r="T62" s="1166">
        <f>ROUND(T64/T63,2)</f>
        <v>17.02</v>
      </c>
      <c r="U62" s="1166"/>
      <c r="V62" s="1166"/>
      <c r="W62" s="210">
        <f>ROUND(W64/W63,2)</f>
        <v>19.649999999999999</v>
      </c>
      <c r="X62" s="209">
        <f>T62</f>
        <v>17.02</v>
      </c>
      <c r="Y62" s="210">
        <f>ROUND(Y64/Y63,2)</f>
        <v>25.02</v>
      </c>
      <c r="Z62" s="210">
        <f>ROUND(Z64/Z63,2)</f>
        <v>21.02</v>
      </c>
    </row>
    <row r="63" spans="2:26" hidden="1">
      <c r="E63" s="204" t="s">
        <v>603</v>
      </c>
      <c r="F63" s="205" t="s">
        <v>604</v>
      </c>
      <c r="G63" s="213">
        <f>M46/2</f>
        <v>26950.92</v>
      </c>
      <c r="H63" s="209">
        <f>G63</f>
        <v>26950.92</v>
      </c>
      <c r="I63" s="210">
        <f>H63+G63</f>
        <v>53901.84</v>
      </c>
      <c r="J63" s="214">
        <f>P46/2</f>
        <v>17407.190994250981</v>
      </c>
      <c r="K63" s="209">
        <f>J63</f>
        <v>17407.190994250981</v>
      </c>
      <c r="L63" s="210">
        <f>K63+J63</f>
        <v>34814.381988501962</v>
      </c>
      <c r="M63" s="214">
        <f>R46/2</f>
        <v>17581.262904193489</v>
      </c>
      <c r="N63" s="209">
        <f>M63</f>
        <v>17581.262904193489</v>
      </c>
      <c r="O63" s="210">
        <f>N63+M63</f>
        <v>35162.525808386978</v>
      </c>
      <c r="P63" s="238">
        <v>17757.075533235424</v>
      </c>
      <c r="Q63" s="209">
        <f>P63</f>
        <v>17757.075533235424</v>
      </c>
      <c r="R63" s="210">
        <f>Q63+P63</f>
        <v>35514.151066470848</v>
      </c>
      <c r="S63" s="214">
        <f>X46/2</f>
        <v>17934.646288567779</v>
      </c>
      <c r="T63" s="1167">
        <f>S63</f>
        <v>17934.646288567779</v>
      </c>
      <c r="U63" s="1167"/>
      <c r="V63" s="1167"/>
      <c r="W63" s="210">
        <f>T63+S63</f>
        <v>35869.292577135559</v>
      </c>
      <c r="X63" s="214">
        <f>Z46/2</f>
        <v>18113.992751453457</v>
      </c>
      <c r="Y63" s="209">
        <f>X63</f>
        <v>18113.992751453457</v>
      </c>
      <c r="Z63" s="210">
        <f>Y63+X63</f>
        <v>36227.985502906915</v>
      </c>
    </row>
    <row r="64" spans="2:26" hidden="1">
      <c r="E64" s="204" t="s">
        <v>605</v>
      </c>
      <c r="F64" s="205" t="s">
        <v>606</v>
      </c>
      <c r="G64" s="209">
        <f>G63*G62</f>
        <v>446307.23519999994</v>
      </c>
      <c r="H64" s="209">
        <f>M44-G64</f>
        <v>446838.31777906296</v>
      </c>
      <c r="I64" s="210">
        <f>H64+G64</f>
        <v>893145.55297906289</v>
      </c>
      <c r="J64" s="209">
        <f>J63*J62</f>
        <v>288611.22668468126</v>
      </c>
      <c r="K64" s="209">
        <f>P44-J64</f>
        <v>292974.76638893154</v>
      </c>
      <c r="L64" s="210">
        <f>K64+J64</f>
        <v>581585.9930736128</v>
      </c>
      <c r="M64" s="209">
        <f>M63*M62</f>
        <v>295892.65467757639</v>
      </c>
      <c r="N64" s="209">
        <f>R44-M64</f>
        <v>313479.13817246957</v>
      </c>
      <c r="O64" s="210">
        <f>N64+M64</f>
        <v>609371.79285004595</v>
      </c>
      <c r="P64" s="237">
        <v>309328.25578896113</v>
      </c>
      <c r="Q64" s="209">
        <f>T44-P64</f>
        <v>395622.48680266406</v>
      </c>
      <c r="R64" s="210">
        <f>Q64+P64</f>
        <v>704950.7425916252</v>
      </c>
      <c r="S64" s="209">
        <f>S63*S62</f>
        <v>399583.91930929013</v>
      </c>
      <c r="T64" s="1167">
        <f>X44-S64</f>
        <v>305317.74435516365</v>
      </c>
      <c r="U64" s="1167"/>
      <c r="V64" s="1167"/>
      <c r="W64" s="210">
        <f>T64+S64</f>
        <v>704901.66366445378</v>
      </c>
      <c r="X64" s="209">
        <f>X63*X62</f>
        <v>308300.15662973782</v>
      </c>
      <c r="Y64" s="209">
        <f>Z44-X64</f>
        <v>453281.82255351613</v>
      </c>
      <c r="Z64" s="210">
        <f>Y64+X64</f>
        <v>761581.97918325395</v>
      </c>
    </row>
    <row r="65" spans="2:30" hidden="1">
      <c r="E65" s="217" t="s">
        <v>607</v>
      </c>
      <c r="F65" s="218"/>
      <c r="G65" s="208"/>
      <c r="H65" s="219">
        <f>H62/G62</f>
        <v>1.001207729468599</v>
      </c>
      <c r="I65" s="208"/>
      <c r="J65" s="220">
        <f>(16.83-K62)*K63</f>
        <v>0</v>
      </c>
      <c r="K65" s="221">
        <f>K62/J62</f>
        <v>1.0150784077201447</v>
      </c>
      <c r="L65" s="208"/>
      <c r="M65" s="220">
        <f>(17.49-N62)*N63</f>
        <v>-5977.6293874257835</v>
      </c>
      <c r="N65" s="221">
        <f>N62/M62</f>
        <v>1.05941770647653</v>
      </c>
      <c r="O65" s="222"/>
      <c r="P65" s="220">
        <v>1598.1367979911856</v>
      </c>
      <c r="Q65" s="221">
        <f>Q62/P62</f>
        <v>1.2789896670493686</v>
      </c>
      <c r="R65" s="210"/>
      <c r="S65" s="220">
        <f>(18.35-T62)*T63</f>
        <v>23853.079563795178</v>
      </c>
      <c r="T65" s="1168">
        <f>T62/S62</f>
        <v>0.76391382405745056</v>
      </c>
      <c r="U65" s="1168"/>
      <c r="V65" s="1168"/>
      <c r="W65" s="210"/>
      <c r="X65" s="220">
        <f>(18.62-Y62)*Y63</f>
        <v>-115929.55360930211</v>
      </c>
      <c r="Y65" s="221">
        <f>Y62/X62</f>
        <v>1.4700352526439484</v>
      </c>
      <c r="Z65" s="210"/>
    </row>
    <row r="66" spans="2:30" hidden="1">
      <c r="J66" s="239"/>
      <c r="K66" s="239"/>
      <c r="L66" s="239"/>
      <c r="M66" s="239"/>
      <c r="N66" s="239"/>
      <c r="O66" s="239"/>
    </row>
    <row r="67" spans="2:30" hidden="1">
      <c r="J67" s="224">
        <f>ROUND(J62*1.2,2)</f>
        <v>19.899999999999999</v>
      </c>
      <c r="K67" s="224">
        <f>ROUND(K62*1.2,2)</f>
        <v>20.2</v>
      </c>
      <c r="L67" s="239"/>
      <c r="M67" s="224">
        <f>ROUND(M62*1.2,2)</f>
        <v>20.2</v>
      </c>
      <c r="N67" s="224">
        <f>ROUND(N62*1.2,2)</f>
        <v>21.4</v>
      </c>
      <c r="O67" s="239"/>
      <c r="P67" s="145">
        <v>20.9</v>
      </c>
      <c r="Q67" s="145">
        <f>ROUND(Q62*1.2,2)</f>
        <v>26.74</v>
      </c>
      <c r="S67" s="145">
        <f>ROUND(S62*1.2,2)</f>
        <v>26.74</v>
      </c>
      <c r="T67" s="1148">
        <f>ROUND(T62*1.2,2)</f>
        <v>20.420000000000002</v>
      </c>
      <c r="X67" s="145">
        <f>ROUND(X62*1.2,2)</f>
        <v>20.420000000000002</v>
      </c>
      <c r="Y67" s="145">
        <f>ROUND(Y62*1.2,2)</f>
        <v>30.02</v>
      </c>
    </row>
    <row r="68" spans="2:30" hidden="1"/>
    <row r="69" spans="2:30" hidden="1">
      <c r="J69" s="239"/>
      <c r="K69" s="239"/>
      <c r="L69" s="239"/>
      <c r="M69" s="239"/>
      <c r="N69" s="239"/>
      <c r="O69" s="239"/>
      <c r="P69" s="225">
        <v>69790.319168833536</v>
      </c>
      <c r="Q69" s="225">
        <f>Q44*0.12</f>
        <v>122242.78427369338</v>
      </c>
      <c r="R69" s="225">
        <f>R44*0.12</f>
        <v>73124.61514200551</v>
      </c>
    </row>
    <row r="70" spans="2:30" hidden="1"/>
    <row r="71" spans="2:30" hidden="1">
      <c r="J71" s="224"/>
      <c r="K71" s="224"/>
      <c r="L71" s="224"/>
      <c r="M71" s="224"/>
      <c r="N71" s="224"/>
      <c r="O71" s="224"/>
    </row>
    <row r="72" spans="2:30" hidden="1"/>
    <row r="73" spans="2:30">
      <c r="P73" s="1183" t="s">
        <v>1470</v>
      </c>
      <c r="Q73" s="223">
        <f>T48*0.5</f>
        <v>17932.781500000001</v>
      </c>
      <c r="R73" s="210">
        <f>Q73</f>
        <v>17932.781500000001</v>
      </c>
      <c r="W73" s="210"/>
      <c r="X73" s="208" t="s">
        <v>1059</v>
      </c>
      <c r="Y73" s="208">
        <v>2021</v>
      </c>
      <c r="Z73" s="208">
        <v>2022</v>
      </c>
      <c r="AA73" s="208">
        <v>2023</v>
      </c>
      <c r="AB73" s="208">
        <v>2024</v>
      </c>
      <c r="AC73" s="208">
        <v>2025</v>
      </c>
      <c r="AD73" s="208">
        <v>2023</v>
      </c>
    </row>
    <row r="74" spans="2:30" ht="18.75">
      <c r="B74" s="1184"/>
      <c r="C74" s="1185"/>
      <c r="D74" s="1184"/>
      <c r="E74" s="1186"/>
      <c r="F74" s="1186"/>
      <c r="G74" s="1186"/>
      <c r="H74" s="1186"/>
      <c r="I74" s="1186"/>
      <c r="J74" s="1186"/>
      <c r="K74" s="1186"/>
      <c r="L74" s="1186"/>
      <c r="M74" s="1186"/>
      <c r="N74" s="1186"/>
      <c r="O74" s="1186"/>
      <c r="P74" s="1187" t="s">
        <v>556</v>
      </c>
      <c r="Q74" s="1166">
        <f>17.83</f>
        <v>17.829999999999998</v>
      </c>
      <c r="R74" s="1445">
        <f>R75/R73</f>
        <v>21.480730607609598</v>
      </c>
      <c r="S74" s="1148"/>
      <c r="W74" s="210" t="s">
        <v>1465</v>
      </c>
      <c r="X74" s="208">
        <v>104140.92428108324</v>
      </c>
      <c r="Y74" s="208"/>
      <c r="Z74" s="208"/>
      <c r="AA74" s="208"/>
      <c r="AB74" s="208"/>
      <c r="AC74" s="208"/>
      <c r="AD74" s="208"/>
    </row>
    <row r="75" spans="2:30" ht="15.75">
      <c r="P75" s="1183" t="s">
        <v>605</v>
      </c>
      <c r="Q75" s="210">
        <f>Q73*Q74</f>
        <v>319741.494145</v>
      </c>
      <c r="R75" s="210">
        <f>T44-Q75</f>
        <v>385209.24844662519</v>
      </c>
      <c r="S75" s="1182">
        <f>Q75+R75-S79</f>
        <v>49507.578766625258</v>
      </c>
      <c r="W75" s="210" t="s">
        <v>1466</v>
      </c>
      <c r="X75" s="208">
        <v>104140.92428108324</v>
      </c>
      <c r="Y75" s="208">
        <v>52070.462140541596</v>
      </c>
      <c r="Z75" s="208">
        <v>52070.462140541618</v>
      </c>
      <c r="AA75" s="208"/>
      <c r="AB75" s="208"/>
      <c r="AC75" s="208"/>
      <c r="AD75" s="208"/>
    </row>
    <row r="76" spans="2:30">
      <c r="P76" s="1180"/>
      <c r="Q76" s="210"/>
      <c r="R76" s="1370">
        <f>R74/Q74</f>
        <v>1.2047521372747954</v>
      </c>
      <c r="W76" s="210" t="s">
        <v>1467</v>
      </c>
      <c r="X76" s="208">
        <v>104140.92428108324</v>
      </c>
      <c r="Y76" s="208">
        <v>34713.641427027746</v>
      </c>
      <c r="Z76" s="208">
        <v>34713.641427027746</v>
      </c>
      <c r="AA76" s="208"/>
      <c r="AB76" s="208"/>
      <c r="AC76" s="208"/>
      <c r="AD76" s="208">
        <v>34713.641427027746</v>
      </c>
    </row>
    <row r="77" spans="2:30">
      <c r="P77" s="1180"/>
      <c r="Q77" s="210"/>
      <c r="R77" s="210">
        <f>R75-S75</f>
        <v>335701.66967999993</v>
      </c>
      <c r="W77" s="1497" t="s">
        <v>1789</v>
      </c>
      <c r="Z77" s="1497" t="s">
        <v>1790</v>
      </c>
    </row>
    <row r="78" spans="2:30" ht="18.75">
      <c r="P78" s="1180" t="s">
        <v>1472</v>
      </c>
      <c r="Q78" s="210"/>
      <c r="R78" s="1371">
        <v>18.72</v>
      </c>
      <c r="S78" s="1446">
        <f>R78*1.2</f>
        <v>22.463999999999999</v>
      </c>
      <c r="W78" s="223">
        <f>X48/2</f>
        <v>18102.817999999999</v>
      </c>
      <c r="X78" s="210">
        <f>W78</f>
        <v>18102.817999999999</v>
      </c>
      <c r="Z78" s="223">
        <f>Z48/2</f>
        <v>18274.554499999998</v>
      </c>
      <c r="AA78" s="210">
        <f>Z78</f>
        <v>18274.554499999998</v>
      </c>
    </row>
    <row r="79" spans="2:30">
      <c r="P79" s="1180"/>
      <c r="Q79" s="210"/>
      <c r="R79" s="1498">
        <f>R78/Q74</f>
        <v>1.049915872125631</v>
      </c>
      <c r="S79" s="145">
        <f>R73*R78+Q75</f>
        <v>655443.16382499994</v>
      </c>
      <c r="W79" s="1166">
        <f>R78</f>
        <v>18.72</v>
      </c>
      <c r="X79" s="1166">
        <f>X80/X78</f>
        <v>20.21878089391684</v>
      </c>
      <c r="Z79" s="1166">
        <f>X79</f>
        <v>20.21878089391684</v>
      </c>
      <c r="AA79" s="1166">
        <f>AA80/AA78</f>
        <v>21.45566754110542</v>
      </c>
    </row>
    <row r="80" spans="2:30">
      <c r="R80" s="145">
        <f>R73*R78</f>
        <v>335701.66967999999</v>
      </c>
      <c r="W80" s="210">
        <f>W78*W79</f>
        <v>338884.75295999995</v>
      </c>
      <c r="X80" s="210">
        <f>X44-W80</f>
        <v>366016.91070445383</v>
      </c>
      <c r="Z80" s="210">
        <f>Z78*Z79</f>
        <v>369489.21336944198</v>
      </c>
      <c r="AA80" s="210">
        <f>Z44-Z80</f>
        <v>392092.76581381197</v>
      </c>
    </row>
    <row r="81" spans="4:38">
      <c r="R81" s="145">
        <f>Q75+R80-T44</f>
        <v>-49507.578766625258</v>
      </c>
      <c r="W81" s="210"/>
      <c r="X81" s="1499">
        <f>X79/W79</f>
        <v>1.0800630819400021</v>
      </c>
      <c r="Z81" s="210"/>
      <c r="AA81" s="1499">
        <f>AA79/Z79</f>
        <v>1.0611751348253009</v>
      </c>
    </row>
    <row r="82" spans="4:38">
      <c r="W82" s="195"/>
      <c r="X82" s="1435"/>
    </row>
    <row r="83" spans="4:38">
      <c r="D83" s="198" t="s">
        <v>1758</v>
      </c>
      <c r="Q83" s="1433">
        <f>Q86</f>
        <v>-22901.7</v>
      </c>
      <c r="R83" s="1433">
        <v>0</v>
      </c>
      <c r="S83" s="1433">
        <v>0</v>
      </c>
      <c r="T83" s="1434">
        <v>0</v>
      </c>
      <c r="U83" s="1434">
        <v>0</v>
      </c>
      <c r="V83" s="1164"/>
      <c r="W83" s="195">
        <v>2019</v>
      </c>
      <c r="X83" s="1435"/>
    </row>
    <row r="84" spans="4:38">
      <c r="D84" s="198" t="s">
        <v>1757</v>
      </c>
      <c r="Q84" s="1433"/>
      <c r="R84" s="1433">
        <f>-12417.69</f>
        <v>-12417.69</v>
      </c>
      <c r="S84" s="1433">
        <v>500</v>
      </c>
      <c r="T84" s="1434">
        <v>7000</v>
      </c>
      <c r="U84" s="1434">
        <v>4917.6899999999996</v>
      </c>
      <c r="V84" s="1164"/>
      <c r="W84" s="145">
        <f>SUM(R84:U84)</f>
        <v>0</v>
      </c>
      <c r="Z84" s="1529" t="s">
        <v>597</v>
      </c>
      <c r="AA84" s="1531">
        <v>44197</v>
      </c>
      <c r="AB84" s="1531">
        <v>44378</v>
      </c>
      <c r="AC84" s="1532" t="s">
        <v>602</v>
      </c>
    </row>
    <row r="85" spans="4:38">
      <c r="D85" s="198" t="s">
        <v>605</v>
      </c>
      <c r="Q85" s="1433">
        <v>581585.99</v>
      </c>
      <c r="R85" s="1433">
        <v>602227.14</v>
      </c>
      <c r="S85" s="1433">
        <v>629823.04</v>
      </c>
      <c r="T85" s="1434">
        <v>651508.49</v>
      </c>
      <c r="U85" s="1434">
        <v>665060.18000000005</v>
      </c>
      <c r="V85" s="1164"/>
      <c r="X85" s="145">
        <f>Q85+R85+S85+T85+U85</f>
        <v>3130204.8400000003</v>
      </c>
      <c r="Z85" s="1529" t="s">
        <v>556</v>
      </c>
      <c r="AA85" s="1533">
        <v>17.829999999999998</v>
      </c>
      <c r="AB85" s="1533">
        <f>AB87/AB86</f>
        <v>18.717593444532024</v>
      </c>
      <c r="AC85" s="1533">
        <f>AC87/AC86</f>
        <v>18.273796722266013</v>
      </c>
    </row>
    <row r="86" spans="4:38">
      <c r="D86" s="198" t="s">
        <v>1758</v>
      </c>
      <c r="Q86" s="1433">
        <v>-22901.7</v>
      </c>
      <c r="R86" s="1433">
        <v>-46127.87</v>
      </c>
      <c r="S86" s="1433">
        <v>75795.19</v>
      </c>
      <c r="T86" s="1434"/>
      <c r="U86" s="1434"/>
      <c r="V86" s="1164"/>
      <c r="W86" s="145">
        <v>2020</v>
      </c>
      <c r="Z86" s="1529" t="s">
        <v>557</v>
      </c>
      <c r="AA86" s="1533">
        <f>AC86/2</f>
        <v>17932.781500000001</v>
      </c>
      <c r="AB86" s="1533">
        <f>AC86-AA86</f>
        <v>17932.781500000001</v>
      </c>
      <c r="AC86" s="1533">
        <f>'Корректировка ВО'!G30</f>
        <v>35865.563000000002</v>
      </c>
    </row>
    <row r="87" spans="4:38">
      <c r="D87" s="198" t="s">
        <v>1757</v>
      </c>
      <c r="Q87" s="1433">
        <v>0</v>
      </c>
      <c r="R87" s="1433">
        <v>40854</v>
      </c>
      <c r="S87" s="1433">
        <f>-78000</f>
        <v>-78000</v>
      </c>
      <c r="T87" s="1434">
        <f>-18000</f>
        <v>-18000</v>
      </c>
      <c r="U87" s="1434">
        <f>-48354.84+103500.84</f>
        <v>55146</v>
      </c>
      <c r="V87" s="1164"/>
      <c r="W87" s="145">
        <f>SUM(R87:U87)</f>
        <v>0</v>
      </c>
      <c r="Z87" s="1529" t="s">
        <v>1813</v>
      </c>
      <c r="AA87" s="1533">
        <f>AA85*AA86</f>
        <v>319741.494145</v>
      </c>
      <c r="AB87" s="1533">
        <f>AC87-AA87</f>
        <v>335658.51344662521</v>
      </c>
      <c r="AC87" s="1533">
        <f>V44</f>
        <v>655400.00759162521</v>
      </c>
    </row>
    <row r="88" spans="4:38">
      <c r="D88" s="198" t="s">
        <v>605</v>
      </c>
      <c r="Q88" s="1433">
        <v>581585.99</v>
      </c>
      <c r="R88" s="1433">
        <v>602227.14</v>
      </c>
      <c r="S88" s="1433">
        <v>655458.44999999995</v>
      </c>
      <c r="T88" s="1434">
        <v>626508.48</v>
      </c>
      <c r="U88" s="1438">
        <v>611787.65</v>
      </c>
      <c r="V88" s="1527"/>
      <c r="X88" s="145">
        <f>Q88+R88+S88+T88+U88</f>
        <v>3077567.7099999995</v>
      </c>
      <c r="Z88" s="1529" t="s">
        <v>353</v>
      </c>
      <c r="AA88" s="1532"/>
      <c r="AB88" s="1533">
        <f>AB85/AA85*100</f>
        <v>104.97808998615832</v>
      </c>
      <c r="AC88" s="1532"/>
    </row>
    <row r="90" spans="4:38">
      <c r="AA90" s="1535" t="s">
        <v>614</v>
      </c>
      <c r="AB90" s="1534">
        <f>AB85*1.2</f>
        <v>22.46111213343843</v>
      </c>
    </row>
    <row r="93" spans="4:38">
      <c r="O93" s="1345" t="s">
        <v>1261</v>
      </c>
      <c r="P93" s="1346"/>
      <c r="Q93" s="1346"/>
      <c r="R93" s="1346"/>
      <c r="S93" s="1346"/>
      <c r="T93" s="1346"/>
      <c r="U93" s="1346"/>
      <c r="V93" s="1346"/>
      <c r="W93" s="1347"/>
      <c r="X93" s="1348"/>
      <c r="Y93" s="1348"/>
      <c r="Z93" s="1348"/>
      <c r="AA93" s="1348"/>
      <c r="AB93" s="1348"/>
      <c r="AC93" s="1349"/>
      <c r="AD93" s="1349"/>
      <c r="AE93" s="1349"/>
      <c r="AF93" s="1350"/>
      <c r="AG93" s="1350"/>
      <c r="AH93" s="1350"/>
      <c r="AI93" s="1350"/>
      <c r="AJ93" s="1350"/>
      <c r="AK93" s="1350"/>
      <c r="AL93" s="1346"/>
    </row>
    <row r="94" spans="4:38" ht="22.5">
      <c r="O94" s="1351" t="s">
        <v>1518</v>
      </c>
      <c r="P94" s="1352" t="s">
        <v>1519</v>
      </c>
      <c r="Q94" s="1352" t="s">
        <v>1520</v>
      </c>
      <c r="R94" s="1353" t="s">
        <v>597</v>
      </c>
      <c r="S94" s="1353" t="s">
        <v>598</v>
      </c>
      <c r="T94" s="1352" t="s">
        <v>1524</v>
      </c>
      <c r="U94" s="1352" t="s">
        <v>1525</v>
      </c>
      <c r="V94" s="1352"/>
      <c r="W94" s="1352" t="s">
        <v>1521</v>
      </c>
      <c r="X94" s="1352" t="s">
        <v>1526</v>
      </c>
      <c r="Y94" s="1354" t="s">
        <v>599</v>
      </c>
      <c r="Z94" s="146"/>
    </row>
    <row r="95" spans="4:38">
      <c r="O95" s="1355" t="s">
        <v>1527</v>
      </c>
      <c r="P95" s="1356">
        <f>X81</f>
        <v>1.0800630819400021</v>
      </c>
      <c r="Q95" s="1357" t="e">
        <f>Q97/Q96</f>
        <v>#VALUE!</v>
      </c>
      <c r="R95" s="1358" t="e">
        <f>R101/R96</f>
        <v>#VALUE!</v>
      </c>
      <c r="S95" s="1358" t="e">
        <f>S101/S96</f>
        <v>#DIV/0!</v>
      </c>
      <c r="T95" s="1356" t="e">
        <f>ROUND(T97/T96,2)</f>
        <v>#DIV/0!</v>
      </c>
      <c r="U95" s="1356" t="e">
        <f>#REF!</f>
        <v>#REF!</v>
      </c>
      <c r="V95" s="1356"/>
      <c r="W95" s="1356" t="e">
        <f>T95</f>
        <v>#DIV/0!</v>
      </c>
      <c r="X95" s="1357" t="e">
        <f>X97/X96</f>
        <v>#REF!</v>
      </c>
      <c r="Y95" s="1358" t="e">
        <f>Y101/Y96</f>
        <v>#DIV/0!</v>
      </c>
      <c r="Z95" s="146"/>
    </row>
    <row r="96" spans="4:38" ht="22.5">
      <c r="O96" s="1355" t="s">
        <v>1528</v>
      </c>
      <c r="P96" s="1358" t="e">
        <f>R96/2</f>
        <v>#VALUE!</v>
      </c>
      <c r="Q96" s="1358" t="e">
        <f>R96/2</f>
        <v>#VALUE!</v>
      </c>
      <c r="R96" s="1356" t="str">
        <f>Z84</f>
        <v>2021 год</v>
      </c>
      <c r="S96" s="1356">
        <f>AG84</f>
        <v>0</v>
      </c>
      <c r="T96" s="1358">
        <f>S96</f>
        <v>0</v>
      </c>
      <c r="U96" s="1358">
        <f>Y96/2</f>
        <v>0</v>
      </c>
      <c r="V96" s="1358"/>
      <c r="W96" s="1358">
        <f>AK62/2</f>
        <v>0</v>
      </c>
      <c r="X96" s="1358">
        <f>Y96/2</f>
        <v>0</v>
      </c>
      <c r="Y96" s="1356">
        <f>AL84</f>
        <v>0</v>
      </c>
      <c r="Z96" s="146"/>
    </row>
    <row r="97" spans="15:26">
      <c r="O97" s="1355" t="s">
        <v>1415</v>
      </c>
      <c r="P97" s="1358" t="e">
        <f>P95*P96</f>
        <v>#VALUE!</v>
      </c>
      <c r="Q97" s="1358" t="e">
        <f>R101-P97</f>
        <v>#VALUE!</v>
      </c>
      <c r="R97" s="1356" t="str">
        <f>Z85</f>
        <v>тариф</v>
      </c>
      <c r="S97" s="1356">
        <f>AG85</f>
        <v>0</v>
      </c>
      <c r="T97" s="1358">
        <f>AI60-S97</f>
        <v>0</v>
      </c>
      <c r="U97" s="1358" t="e">
        <f>U95*U96</f>
        <v>#REF!</v>
      </c>
      <c r="V97" s="1358"/>
      <c r="W97" s="1358" t="e">
        <f>W96*W95</f>
        <v>#DIV/0!</v>
      </c>
      <c r="X97" s="1358" t="e">
        <f>Y101-U97</f>
        <v>#REF!</v>
      </c>
      <c r="Y97" s="1356">
        <f>AL85</f>
        <v>0</v>
      </c>
      <c r="Z97" s="146"/>
    </row>
    <row r="98" spans="15:26" ht="33.75">
      <c r="O98" s="1355" t="s">
        <v>1529</v>
      </c>
      <c r="P98" s="1358"/>
      <c r="Q98" s="1358"/>
      <c r="R98" s="1359">
        <f>2442.39121973613/2</f>
        <v>1221.195609868065</v>
      </c>
      <c r="S98" s="1359">
        <f>R98</f>
        <v>1221.195609868065</v>
      </c>
      <c r="T98" s="1358"/>
      <c r="U98" s="1358"/>
      <c r="V98" s="1358"/>
      <c r="W98" s="1358"/>
      <c r="X98" s="1358"/>
      <c r="Y98" s="1359"/>
      <c r="Z98" s="146"/>
    </row>
    <row r="99" spans="15:26" ht="33.75">
      <c r="O99" s="1355" t="s">
        <v>1530</v>
      </c>
      <c r="P99" s="1358"/>
      <c r="Q99" s="1358"/>
      <c r="R99" s="1359">
        <f>39932.3432178986/2</f>
        <v>19966.171608949298</v>
      </c>
      <c r="S99" s="1359">
        <f>R99</f>
        <v>19966.171608949298</v>
      </c>
      <c r="T99" s="1358"/>
      <c r="U99" s="1358"/>
      <c r="V99" s="1358"/>
      <c r="W99" s="1358"/>
      <c r="X99" s="1358"/>
      <c r="Y99" s="1359"/>
      <c r="Z99" s="146"/>
    </row>
    <row r="100" spans="15:26" ht="33.75">
      <c r="O100" s="1355" t="s">
        <v>1531</v>
      </c>
      <c r="P100" s="1358"/>
      <c r="Q100" s="1358"/>
      <c r="R100" s="1359">
        <f>Z89</f>
        <v>0</v>
      </c>
      <c r="S100" s="1359">
        <f>AG89</f>
        <v>0</v>
      </c>
      <c r="T100" s="1358"/>
      <c r="U100" s="1358"/>
      <c r="V100" s="1358"/>
      <c r="W100" s="1358"/>
      <c r="X100" s="1358"/>
      <c r="Y100" s="1359">
        <f>AL89</f>
        <v>0</v>
      </c>
      <c r="Z100" s="146"/>
    </row>
    <row r="101" spans="15:26" ht="33.75">
      <c r="O101" s="1355" t="s">
        <v>1533</v>
      </c>
      <c r="P101" s="1358"/>
      <c r="Q101" s="1358"/>
      <c r="R101" s="1360" t="e">
        <f>R97-R98-R99+R100</f>
        <v>#VALUE!</v>
      </c>
      <c r="S101" s="1360">
        <f>S97-S98-S99+S100</f>
        <v>-21187.367218817362</v>
      </c>
      <c r="T101" s="1358"/>
      <c r="U101" s="1358"/>
      <c r="V101" s="1358"/>
      <c r="W101" s="1358"/>
      <c r="X101" s="1358"/>
      <c r="Y101" s="1360">
        <f>Y97-Y98-Y99+Y100</f>
        <v>0</v>
      </c>
      <c r="Z101" s="146"/>
    </row>
    <row r="102" spans="15:26">
      <c r="O102" s="1361"/>
      <c r="P102" s="1358"/>
      <c r="Q102" s="1362" t="e">
        <f>Q95/P95-1</f>
        <v>#VALUE!</v>
      </c>
      <c r="R102" s="1363">
        <f>R98+R99</f>
        <v>21187.367218817362</v>
      </c>
      <c r="S102" s="1363">
        <f>S98+S99</f>
        <v>21187.367218817362</v>
      </c>
      <c r="T102" s="1365" t="e">
        <f>T95/S95</f>
        <v>#DIV/0!</v>
      </c>
      <c r="U102" s="1358"/>
      <c r="V102" s="1358"/>
      <c r="W102" s="1364" t="e">
        <f>(18.62-X95)*X96</f>
        <v>#REF!</v>
      </c>
      <c r="X102" s="1362" t="e">
        <f>X95/U95-1</f>
        <v>#REF!</v>
      </c>
      <c r="Y102" s="1366"/>
      <c r="Z102" s="146"/>
    </row>
    <row r="103" spans="15:26">
      <c r="S103" s="145">
        <f>S102+R102+'Расчёт ВС методом индексации'!T89+'Расчёт ВС методом индексации'!Q89+'Расчёт ВС методом индексации'!Q90+'Расчёт ВС методом индексации'!T90</f>
        <v>104140.92428108324</v>
      </c>
    </row>
    <row r="106" spans="15:26">
      <c r="Q106" s="145" t="s">
        <v>1767</v>
      </c>
    </row>
    <row r="108" spans="15:26">
      <c r="Q108" s="1433">
        <v>2022</v>
      </c>
      <c r="R108" s="1433"/>
      <c r="T108" s="1447">
        <v>2023</v>
      </c>
      <c r="U108" s="1447"/>
      <c r="V108" s="1528"/>
    </row>
    <row r="109" spans="15:26">
      <c r="P109" s="225" t="s">
        <v>557</v>
      </c>
      <c r="Q109" s="1433">
        <f>36205.636*0.5</f>
        <v>18102.817999999999</v>
      </c>
      <c r="R109" s="1433">
        <f>Q109</f>
        <v>18102.817999999999</v>
      </c>
      <c r="T109" s="1447">
        <f>36549.109*0.5</f>
        <v>18274.554499999998</v>
      </c>
      <c r="U109" s="1447">
        <f>T109</f>
        <v>18274.554499999998</v>
      </c>
      <c r="V109" s="1528"/>
    </row>
    <row r="110" spans="15:26">
      <c r="P110" s="225" t="s">
        <v>556</v>
      </c>
      <c r="Q110" s="1433">
        <f>R74</f>
        <v>21.480730607609598</v>
      </c>
      <c r="R110" s="1433">
        <f>R111/R109</f>
        <v>17.458050286307238</v>
      </c>
      <c r="T110" s="1447">
        <f>R110</f>
        <v>17.458050286307238</v>
      </c>
      <c r="U110" s="1447">
        <f>U111/U109</f>
        <v>24.216398148715022</v>
      </c>
      <c r="V110" s="1528"/>
    </row>
    <row r="111" spans="15:26">
      <c r="P111" s="225" t="s">
        <v>605</v>
      </c>
      <c r="Q111" s="1433">
        <f>Q109*Q110</f>
        <v>388861.75669658597</v>
      </c>
      <c r="R111" s="1433">
        <f>X44-Q111</f>
        <v>316039.90696786781</v>
      </c>
      <c r="T111" s="1447">
        <f>T109*T110</f>
        <v>319038.09142086218</v>
      </c>
      <c r="U111" s="1447">
        <f>Z44-T111</f>
        <v>442543.88776239177</v>
      </c>
      <c r="V111" s="1528"/>
    </row>
    <row r="112" spans="15:26">
      <c r="Q112" s="1433"/>
      <c r="R112" s="1433">
        <f>R110/Q110</f>
        <v>0.81273074948962321</v>
      </c>
      <c r="T112" s="1447"/>
      <c r="U112" s="1447">
        <f>U110/T110</f>
        <v>1.3871192803075219</v>
      </c>
      <c r="V112" s="1528"/>
    </row>
  </sheetData>
  <mergeCells count="22">
    <mergeCell ref="Y2:Z2"/>
    <mergeCell ref="I5:J5"/>
    <mergeCell ref="M5:N5"/>
    <mergeCell ref="O5:P5"/>
    <mergeCell ref="B5:B6"/>
    <mergeCell ref="C5:C6"/>
    <mergeCell ref="D5:D6"/>
    <mergeCell ref="E5:F5"/>
    <mergeCell ref="G5:H5"/>
    <mergeCell ref="V5:V6"/>
    <mergeCell ref="E60:E61"/>
    <mergeCell ref="F60:F61"/>
    <mergeCell ref="G60:I60"/>
    <mergeCell ref="J60:L60"/>
    <mergeCell ref="M60:O60"/>
    <mergeCell ref="S60:W60"/>
    <mergeCell ref="X60:Z60"/>
    <mergeCell ref="Q5:R5"/>
    <mergeCell ref="S5:T5"/>
    <mergeCell ref="W5:X5"/>
    <mergeCell ref="Y5:Z5"/>
    <mergeCell ref="P60:R60"/>
  </mergeCells>
  <pageMargins left="0.11811023622047245" right="0.11811023622047245" top="0" bottom="0" header="0.31496062992125984" footer="0.31496062992125984"/>
  <pageSetup paperSize="9" scale="6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7"/>
  <sheetViews>
    <sheetView workbookViewId="0">
      <selection activeCell="G13" sqref="G13"/>
    </sheetView>
  </sheetViews>
  <sheetFormatPr defaultColWidth="8.85546875" defaultRowHeight="15"/>
  <cols>
    <col min="1" max="1" width="8.85546875" style="347"/>
    <col min="2" max="2" width="23.42578125" style="347" customWidth="1"/>
    <col min="3" max="3" width="13.85546875" style="347" customWidth="1"/>
    <col min="4" max="4" width="12.42578125" style="347" customWidth="1"/>
    <col min="5" max="5" width="16.7109375" style="347" customWidth="1"/>
    <col min="6" max="6" width="13.42578125" style="347" customWidth="1"/>
    <col min="7" max="7" width="15.7109375" style="347" customWidth="1"/>
    <col min="8" max="8" width="20.85546875" style="347" customWidth="1"/>
    <col min="9" max="9" width="22.42578125" style="347" customWidth="1"/>
    <col min="10" max="10" width="20" style="347" customWidth="1"/>
    <col min="11" max="14" width="10.7109375" style="347" customWidth="1"/>
    <col min="15" max="15" width="11" style="347" customWidth="1"/>
    <col min="16" max="16384" width="8.85546875" style="347"/>
  </cols>
  <sheetData>
    <row r="4" spans="2:15" ht="16.5" thickBot="1">
      <c r="B4" s="380" t="s">
        <v>855</v>
      </c>
    </row>
    <row r="5" spans="2:15" ht="62.25" customHeight="1">
      <c r="B5" s="1682"/>
      <c r="C5" s="1684" t="s">
        <v>856</v>
      </c>
      <c r="D5" s="1685"/>
      <c r="E5" s="1686"/>
      <c r="F5" s="1684" t="s">
        <v>856</v>
      </c>
      <c r="G5" s="1685"/>
      <c r="H5" s="1686"/>
      <c r="I5" s="1684" t="s">
        <v>857</v>
      </c>
      <c r="J5" s="1684" t="s">
        <v>858</v>
      </c>
      <c r="K5" s="1676" t="s">
        <v>859</v>
      </c>
      <c r="L5" s="1677"/>
      <c r="M5" s="1677"/>
      <c r="N5" s="1677"/>
      <c r="O5" s="1678"/>
    </row>
    <row r="6" spans="2:15" ht="16.5" thickBot="1">
      <c r="B6" s="1683"/>
      <c r="C6" s="1679" t="s">
        <v>860</v>
      </c>
      <c r="D6" s="1680"/>
      <c r="E6" s="1681"/>
      <c r="F6" s="1679" t="s">
        <v>861</v>
      </c>
      <c r="G6" s="1680"/>
      <c r="H6" s="1681"/>
      <c r="I6" s="1679"/>
      <c r="J6" s="1679"/>
      <c r="K6" s="381" t="s">
        <v>697</v>
      </c>
      <c r="L6" s="382" t="s">
        <v>698</v>
      </c>
      <c r="M6" s="382" t="s">
        <v>862</v>
      </c>
      <c r="N6" s="382" t="s">
        <v>863</v>
      </c>
      <c r="O6" s="383" t="s">
        <v>195</v>
      </c>
    </row>
    <row r="7" spans="2:15" ht="48" thickBot="1">
      <c r="B7" s="384"/>
      <c r="C7" s="385" t="s">
        <v>864</v>
      </c>
      <c r="D7" s="385" t="s">
        <v>865</v>
      </c>
      <c r="E7" s="385" t="s">
        <v>866</v>
      </c>
      <c r="F7" s="385" t="s">
        <v>864</v>
      </c>
      <c r="G7" s="385" t="s">
        <v>865</v>
      </c>
      <c r="H7" s="385" t="s">
        <v>866</v>
      </c>
      <c r="I7" s="386" t="s">
        <v>864</v>
      </c>
      <c r="J7" s="387"/>
      <c r="K7" s="388">
        <v>47.73</v>
      </c>
      <c r="L7" s="389">
        <v>34.76</v>
      </c>
      <c r="M7" s="389">
        <v>6.36</v>
      </c>
      <c r="N7" s="389">
        <v>9.59</v>
      </c>
      <c r="O7" s="390">
        <v>1.55</v>
      </c>
    </row>
    <row r="8" spans="2:15" ht="41.25" customHeight="1" thickBot="1">
      <c r="B8" s="384" t="s">
        <v>867</v>
      </c>
      <c r="C8" s="391">
        <v>107.22</v>
      </c>
      <c r="D8" s="391">
        <v>123.8</v>
      </c>
      <c r="E8" s="391" t="s">
        <v>868</v>
      </c>
      <c r="F8" s="391" t="s">
        <v>869</v>
      </c>
      <c r="G8" s="391" t="s">
        <v>870</v>
      </c>
      <c r="H8" s="391" t="s">
        <v>871</v>
      </c>
      <c r="I8" s="392" t="s">
        <v>872</v>
      </c>
      <c r="J8" s="393">
        <v>148986.32</v>
      </c>
      <c r="K8" s="394">
        <f>J8*K7/100</f>
        <v>71111.170536000005</v>
      </c>
      <c r="L8" s="395">
        <f>J8*L7/100</f>
        <v>51787.644831999998</v>
      </c>
      <c r="M8" s="395">
        <f>J8*M7/100</f>
        <v>9475.5299520000008</v>
      </c>
      <c r="N8" s="395">
        <f>J8*N7/100</f>
        <v>14287.788087999999</v>
      </c>
      <c r="O8" s="396">
        <f>O9+O17+O22</f>
        <v>590363.75774170004</v>
      </c>
    </row>
    <row r="9" spans="2:15" ht="32.25" thickBot="1">
      <c r="B9" s="397" t="s">
        <v>873</v>
      </c>
      <c r="C9" s="398"/>
      <c r="D9" s="398">
        <v>231.02</v>
      </c>
      <c r="E9" s="398" t="s">
        <v>868</v>
      </c>
      <c r="F9" s="398"/>
      <c r="G9" s="398" t="s">
        <v>874</v>
      </c>
      <c r="H9" s="398" t="s">
        <v>871</v>
      </c>
      <c r="I9" s="399" t="s">
        <v>875</v>
      </c>
      <c r="J9" s="400">
        <v>90155.73</v>
      </c>
      <c r="K9" s="394"/>
      <c r="L9" s="395"/>
      <c r="M9" s="395"/>
      <c r="N9" s="395"/>
      <c r="O9" s="396">
        <f>'К ВС'!N322</f>
        <v>590363.75774170004</v>
      </c>
    </row>
    <row r="10" spans="2:15" ht="19.5" customHeight="1" thickBot="1">
      <c r="B10" s="384" t="s">
        <v>876</v>
      </c>
      <c r="C10" s="391"/>
      <c r="D10" s="391">
        <v>0</v>
      </c>
      <c r="E10" s="391">
        <v>0</v>
      </c>
      <c r="F10" s="391"/>
      <c r="G10" s="391">
        <v>0</v>
      </c>
      <c r="H10" s="391">
        <v>0</v>
      </c>
      <c r="I10" s="401" t="s">
        <v>877</v>
      </c>
      <c r="J10" s="402"/>
      <c r="K10" s="381"/>
      <c r="L10" s="382"/>
      <c r="M10" s="382"/>
      <c r="N10" s="382"/>
      <c r="O10" s="383"/>
    </row>
    <row r="11" spans="2:15">
      <c r="B11" s="403"/>
    </row>
    <row r="17" spans="14:14">
      <c r="N17" s="371">
        <f>'К ВС'!N324</f>
        <v>125555.68150020801</v>
      </c>
    </row>
  </sheetData>
  <mergeCells count="8">
    <mergeCell ref="K5:O5"/>
    <mergeCell ref="C6:E6"/>
    <mergeCell ref="F6:H6"/>
    <mergeCell ref="B5:B6"/>
    <mergeCell ref="C5:E5"/>
    <mergeCell ref="F5:H5"/>
    <mergeCell ref="I5:I6"/>
    <mergeCell ref="J5:J6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workbookViewId="0">
      <selection activeCell="L27" sqref="L27"/>
    </sheetView>
  </sheetViews>
  <sheetFormatPr defaultColWidth="8.85546875" defaultRowHeight="15"/>
  <cols>
    <col min="1" max="1" width="5.28515625" style="347" customWidth="1"/>
    <col min="2" max="2" width="76.140625" style="347" customWidth="1"/>
    <col min="3" max="3" width="15.42578125" style="347" customWidth="1"/>
    <col min="4" max="4" width="13.28515625" style="347" hidden="1" customWidth="1"/>
    <col min="5" max="5" width="12.28515625" style="347" hidden="1" customWidth="1"/>
    <col min="6" max="6" width="14.42578125" style="347" hidden="1" customWidth="1"/>
    <col min="7" max="7" width="14.42578125" style="347" customWidth="1"/>
    <col min="8" max="9" width="12.7109375" style="347" hidden="1" customWidth="1"/>
    <col min="10" max="16384" width="8.85546875" style="347"/>
  </cols>
  <sheetData>
    <row r="1" spans="1:15" ht="17.25" customHeight="1">
      <c r="A1" s="1689" t="s">
        <v>787</v>
      </c>
      <c r="B1" s="1689"/>
      <c r="C1" s="1689"/>
      <c r="D1" s="1689"/>
      <c r="E1" s="1689"/>
      <c r="F1" s="1689"/>
      <c r="G1" s="1689"/>
    </row>
    <row r="2" spans="1:15" ht="17.25" customHeight="1">
      <c r="A2" s="1689" t="s">
        <v>788</v>
      </c>
      <c r="B2" s="1689"/>
      <c r="C2" s="1689"/>
      <c r="D2" s="1689"/>
      <c r="E2" s="1689"/>
      <c r="F2" s="1689"/>
      <c r="G2" s="1689"/>
    </row>
    <row r="3" spans="1:15" ht="10.5" customHeight="1">
      <c r="E3" s="348" t="s">
        <v>789</v>
      </c>
      <c r="F3" s="348"/>
    </row>
    <row r="4" spans="1:15" ht="54" customHeight="1">
      <c r="A4" s="349" t="s">
        <v>539</v>
      </c>
      <c r="B4" s="350" t="s">
        <v>790</v>
      </c>
      <c r="C4" s="350" t="s">
        <v>791</v>
      </c>
      <c r="D4" s="350" t="s">
        <v>792</v>
      </c>
      <c r="E4" s="350" t="s">
        <v>793</v>
      </c>
      <c r="F4" s="350" t="s">
        <v>794</v>
      </c>
      <c r="G4" s="350" t="s">
        <v>795</v>
      </c>
    </row>
    <row r="5" spans="1:15" ht="16.5" customHeight="1">
      <c r="A5" s="1690" t="s">
        <v>796</v>
      </c>
      <c r="B5" s="1690"/>
      <c r="C5" s="351"/>
      <c r="D5" s="352"/>
      <c r="E5" s="352"/>
      <c r="F5" s="352"/>
      <c r="G5" s="352"/>
    </row>
    <row r="6" spans="1:15" ht="16.5" customHeight="1">
      <c r="A6" s="353">
        <v>1</v>
      </c>
      <c r="B6" s="354" t="s">
        <v>797</v>
      </c>
      <c r="C6" s="355">
        <v>25062.52</v>
      </c>
      <c r="D6" s="352"/>
      <c r="E6" s="355">
        <v>25062.52</v>
      </c>
      <c r="F6" s="355">
        <v>25062.52</v>
      </c>
      <c r="G6" s="355">
        <v>25062.52</v>
      </c>
    </row>
    <row r="7" spans="1:15" ht="16.5" customHeight="1">
      <c r="A7" s="353">
        <v>2</v>
      </c>
      <c r="B7" s="354" t="s">
        <v>798</v>
      </c>
      <c r="C7" s="355">
        <v>32256.98</v>
      </c>
      <c r="D7" s="352"/>
      <c r="E7" s="355">
        <v>32256.98</v>
      </c>
      <c r="F7" s="355">
        <v>32256.98</v>
      </c>
      <c r="G7" s="355">
        <v>32256.98</v>
      </c>
    </row>
    <row r="8" spans="1:15" ht="16.5" customHeight="1">
      <c r="A8" s="353">
        <v>3</v>
      </c>
      <c r="B8" s="354" t="s">
        <v>799</v>
      </c>
      <c r="C8" s="356">
        <f>SUM(C6:C7)</f>
        <v>57319.5</v>
      </c>
      <c r="D8" s="352"/>
      <c r="E8" s="356">
        <f>SUM(E6:E7)</f>
        <v>57319.5</v>
      </c>
      <c r="F8" s="356">
        <f>SUM(F6:F7)</f>
        <v>57319.5</v>
      </c>
      <c r="G8" s="356">
        <f>SUM(G6:G7)</f>
        <v>57319.5</v>
      </c>
      <c r="O8" s="347">
        <f>O9+O17+O22</f>
        <v>590363.75774170004</v>
      </c>
    </row>
    <row r="9" spans="1:15" ht="16.5" customHeight="1">
      <c r="A9" s="357"/>
      <c r="B9" s="354" t="s">
        <v>800</v>
      </c>
      <c r="C9" s="358">
        <v>39271.599999999999</v>
      </c>
      <c r="D9" s="352"/>
      <c r="E9" s="358">
        <v>39271.599999999999</v>
      </c>
      <c r="F9" s="358">
        <v>39272.6</v>
      </c>
      <c r="G9" s="358">
        <f>G45</f>
        <v>39275.166000000005</v>
      </c>
      <c r="O9" s="371">
        <f>'К ВС'!N322</f>
        <v>590363.75774170004</v>
      </c>
    </row>
    <row r="10" spans="1:15" ht="16.5" customHeight="1">
      <c r="A10" s="357"/>
      <c r="B10" s="354" t="s">
        <v>801</v>
      </c>
      <c r="C10" s="359">
        <f>C8-C9</f>
        <v>18047.900000000001</v>
      </c>
      <c r="D10" s="352"/>
      <c r="E10" s="359">
        <f>E8-E9</f>
        <v>18047.900000000001</v>
      </c>
      <c r="F10" s="359">
        <f>F8-F9</f>
        <v>18046.900000000001</v>
      </c>
      <c r="G10" s="359">
        <f>G8-G9</f>
        <v>18044.333999999995</v>
      </c>
    </row>
    <row r="11" spans="1:15" ht="23.25" hidden="1" customHeight="1">
      <c r="A11" s="357"/>
      <c r="B11" s="354"/>
      <c r="C11" s="360"/>
      <c r="D11" s="352"/>
      <c r="E11" s="352"/>
      <c r="F11" s="352"/>
      <c r="G11" s="352"/>
    </row>
    <row r="12" spans="1:15" ht="16.5" hidden="1" customHeight="1">
      <c r="A12" s="357"/>
      <c r="B12" s="354"/>
      <c r="C12" s="361"/>
      <c r="D12" s="352"/>
      <c r="E12" s="352"/>
      <c r="F12" s="352"/>
      <c r="G12" s="352"/>
    </row>
    <row r="13" spans="1:15" ht="20.25" customHeight="1">
      <c r="A13" s="1691" t="s">
        <v>802</v>
      </c>
      <c r="B13" s="1691"/>
      <c r="C13" s="1691"/>
      <c r="D13" s="352"/>
      <c r="E13" s="352"/>
      <c r="F13" s="352"/>
      <c r="G13" s="352"/>
    </row>
    <row r="14" spans="1:15" ht="16.5" customHeight="1">
      <c r="A14" s="362" t="s">
        <v>803</v>
      </c>
      <c r="B14" s="363" t="s">
        <v>804</v>
      </c>
      <c r="C14" s="361"/>
      <c r="D14" s="352"/>
      <c r="E14" s="352"/>
      <c r="F14" s="352"/>
      <c r="G14" s="352"/>
    </row>
    <row r="15" spans="1:15">
      <c r="A15" s="354"/>
      <c r="B15" s="364" t="s">
        <v>805</v>
      </c>
      <c r="C15" s="355">
        <v>1400</v>
      </c>
      <c r="D15" s="355">
        <v>513.23500000000001</v>
      </c>
      <c r="E15" s="355">
        <f>680.68/9*11</f>
        <v>831.9422222222222</v>
      </c>
      <c r="F15" s="365">
        <v>792.31</v>
      </c>
      <c r="G15" s="365">
        <v>792.31</v>
      </c>
      <c r="H15" s="1687">
        <f>G15+G16+G17+G18+G19+G20+G21+G22+G23+G24</f>
        <v>20477.724000000002</v>
      </c>
    </row>
    <row r="16" spans="1:15">
      <c r="A16" s="354"/>
      <c r="B16" s="364" t="s">
        <v>806</v>
      </c>
      <c r="C16" s="355">
        <v>80</v>
      </c>
      <c r="D16" s="355">
        <v>3</v>
      </c>
      <c r="E16" s="355">
        <v>3</v>
      </c>
      <c r="F16" s="365"/>
      <c r="G16" s="365">
        <v>3</v>
      </c>
      <c r="H16" s="1687"/>
    </row>
    <row r="17" spans="1:14" ht="30">
      <c r="A17" s="354"/>
      <c r="B17" s="366" t="s">
        <v>807</v>
      </c>
      <c r="C17" s="355">
        <v>200</v>
      </c>
      <c r="D17" s="355"/>
      <c r="E17" s="355">
        <v>232.4</v>
      </c>
      <c r="F17" s="365"/>
      <c r="G17" s="365">
        <f>90+230</f>
        <v>320</v>
      </c>
      <c r="H17" s="1687"/>
      <c r="N17" s="371">
        <f>'К ВС'!N324</f>
        <v>125555.68150020801</v>
      </c>
    </row>
    <row r="18" spans="1:14" ht="29.25" customHeight="1">
      <c r="A18" s="354"/>
      <c r="B18" s="366" t="s">
        <v>808</v>
      </c>
      <c r="C18" s="355">
        <v>80</v>
      </c>
      <c r="D18" s="355">
        <v>61.78</v>
      </c>
      <c r="E18" s="355">
        <v>80</v>
      </c>
      <c r="F18" s="365"/>
      <c r="G18" s="365">
        <v>10</v>
      </c>
      <c r="H18" s="1687"/>
    </row>
    <row r="19" spans="1:14">
      <c r="A19" s="354"/>
      <c r="B19" s="364" t="s">
        <v>809</v>
      </c>
      <c r="C19" s="355">
        <v>10</v>
      </c>
      <c r="D19" s="355">
        <v>10</v>
      </c>
      <c r="E19" s="355">
        <v>10</v>
      </c>
      <c r="F19" s="365"/>
      <c r="G19" s="365">
        <v>11</v>
      </c>
      <c r="H19" s="1687"/>
    </row>
    <row r="20" spans="1:14" ht="39">
      <c r="A20" s="354"/>
      <c r="B20" s="366" t="s">
        <v>810</v>
      </c>
      <c r="C20" s="355">
        <v>15</v>
      </c>
      <c r="D20" s="355">
        <v>12</v>
      </c>
      <c r="E20" s="355">
        <v>12</v>
      </c>
      <c r="F20" s="365"/>
      <c r="G20" s="365">
        <v>30</v>
      </c>
      <c r="H20" s="1687"/>
    </row>
    <row r="21" spans="1:14" ht="24" customHeight="1">
      <c r="A21" s="354"/>
      <c r="B21" s="364" t="s">
        <v>811</v>
      </c>
      <c r="C21" s="365">
        <v>5</v>
      </c>
      <c r="D21" s="365"/>
      <c r="E21" s="365"/>
      <c r="F21" s="365"/>
      <c r="G21" s="365">
        <v>1</v>
      </c>
      <c r="H21" s="1687"/>
    </row>
    <row r="22" spans="1:14" ht="34.5" customHeight="1">
      <c r="A22" s="354"/>
      <c r="B22" s="366" t="s">
        <v>812</v>
      </c>
      <c r="C22" s="365">
        <v>11200</v>
      </c>
      <c r="D22" s="365">
        <v>4405.8429999999998</v>
      </c>
      <c r="E22" s="365">
        <f>19101.6+180</f>
        <v>19281.599999999999</v>
      </c>
      <c r="F22" s="365">
        <v>19195.937000000002</v>
      </c>
      <c r="G22" s="365">
        <v>19195.939999999999</v>
      </c>
      <c r="H22" s="1687"/>
    </row>
    <row r="23" spans="1:14" ht="15" customHeight="1">
      <c r="A23" s="354"/>
      <c r="B23" s="364" t="s">
        <v>813</v>
      </c>
      <c r="C23" s="365">
        <v>60</v>
      </c>
      <c r="D23" s="365">
        <v>60</v>
      </c>
      <c r="E23" s="365">
        <v>60</v>
      </c>
      <c r="F23" s="365">
        <v>11</v>
      </c>
      <c r="G23" s="365">
        <v>64.686000000000007</v>
      </c>
      <c r="H23" s="1687"/>
    </row>
    <row r="24" spans="1:14" ht="27" customHeight="1">
      <c r="A24" s="354"/>
      <c r="B24" s="366" t="s">
        <v>814</v>
      </c>
      <c r="C24" s="355">
        <v>40</v>
      </c>
      <c r="D24" s="355"/>
      <c r="E24" s="355"/>
      <c r="F24" s="365"/>
      <c r="G24" s="365">
        <v>49.787999999999997</v>
      </c>
      <c r="H24" s="1687"/>
    </row>
    <row r="25" spans="1:14" ht="15" customHeight="1">
      <c r="A25" s="362" t="s">
        <v>815</v>
      </c>
      <c r="B25" s="363" t="s">
        <v>816</v>
      </c>
      <c r="C25" s="358"/>
      <c r="D25" s="355"/>
      <c r="E25" s="355"/>
      <c r="F25" s="365"/>
      <c r="G25" s="365"/>
    </row>
    <row r="26" spans="1:14" ht="30">
      <c r="A26" s="357"/>
      <c r="B26" s="366" t="s">
        <v>817</v>
      </c>
      <c r="C26" s="355">
        <v>440</v>
      </c>
      <c r="D26" s="355">
        <v>217</v>
      </c>
      <c r="E26" s="355">
        <v>317</v>
      </c>
      <c r="F26" s="365">
        <v>456.5</v>
      </c>
      <c r="G26" s="365">
        <v>456.5</v>
      </c>
      <c r="H26" s="367"/>
    </row>
    <row r="27" spans="1:14" ht="59.25" customHeight="1">
      <c r="A27" s="357"/>
      <c r="B27" s="366" t="s">
        <v>818</v>
      </c>
      <c r="C27" s="355">
        <v>1250</v>
      </c>
      <c r="D27" s="355">
        <v>360.142</v>
      </c>
      <c r="E27" s="355">
        <f>D27*2</f>
        <v>720.28399999999999</v>
      </c>
      <c r="F27" s="365">
        <f>D27+122.772+93.685</f>
        <v>576.59899999999993</v>
      </c>
      <c r="G27" s="365">
        <v>957.81700000000001</v>
      </c>
      <c r="H27" s="367"/>
    </row>
    <row r="28" spans="1:14" ht="30">
      <c r="A28" s="357"/>
      <c r="B28" s="366" t="s">
        <v>819</v>
      </c>
      <c r="C28" s="355">
        <v>24</v>
      </c>
      <c r="D28" s="355">
        <v>24</v>
      </c>
      <c r="E28" s="355">
        <v>24</v>
      </c>
      <c r="F28" s="365">
        <v>24</v>
      </c>
      <c r="G28" s="365">
        <v>24</v>
      </c>
      <c r="H28" s="367"/>
    </row>
    <row r="29" spans="1:14" ht="31.5">
      <c r="A29" s="357"/>
      <c r="B29" s="366" t="s">
        <v>820</v>
      </c>
      <c r="C29" s="355">
        <v>60</v>
      </c>
      <c r="D29" s="355">
        <v>60</v>
      </c>
      <c r="E29" s="355">
        <v>60</v>
      </c>
      <c r="F29" s="365">
        <v>60</v>
      </c>
      <c r="G29" s="365">
        <v>60</v>
      </c>
      <c r="H29" s="367"/>
    </row>
    <row r="30" spans="1:14" ht="26.25" customHeight="1">
      <c r="A30" s="357"/>
      <c r="B30" s="366" t="s">
        <v>821</v>
      </c>
      <c r="C30" s="355">
        <v>160</v>
      </c>
      <c r="D30" s="355">
        <v>224.8</v>
      </c>
      <c r="E30" s="355">
        <v>224.8</v>
      </c>
      <c r="F30" s="365">
        <v>224.8</v>
      </c>
      <c r="G30" s="365">
        <v>224.8</v>
      </c>
      <c r="H30" s="367"/>
    </row>
    <row r="31" spans="1:14" ht="20.25" customHeight="1">
      <c r="A31" s="357"/>
      <c r="B31" s="364" t="s">
        <v>822</v>
      </c>
      <c r="C31" s="355">
        <v>366</v>
      </c>
      <c r="D31" s="355"/>
      <c r="E31" s="355">
        <v>360</v>
      </c>
      <c r="F31" s="365">
        <v>366</v>
      </c>
      <c r="G31" s="365">
        <v>360</v>
      </c>
      <c r="H31" s="367"/>
    </row>
    <row r="32" spans="1:14" ht="30">
      <c r="A32" s="357"/>
      <c r="B32" s="632" t="s">
        <v>823</v>
      </c>
      <c r="C32" s="633">
        <v>11166.6</v>
      </c>
      <c r="D32" s="633">
        <v>10941.8</v>
      </c>
      <c r="E32" s="633">
        <v>10941.8</v>
      </c>
      <c r="F32" s="633">
        <f>11166.6+56+56+200</f>
        <v>11478.6</v>
      </c>
      <c r="G32" s="633">
        <v>10941.799000000001</v>
      </c>
      <c r="H32" s="367"/>
    </row>
    <row r="33" spans="1:9" ht="18.75" customHeight="1">
      <c r="A33" s="357"/>
      <c r="B33" s="369" t="s">
        <v>824</v>
      </c>
      <c r="C33" s="355">
        <v>40</v>
      </c>
      <c r="D33" s="355"/>
      <c r="E33" s="355">
        <v>11</v>
      </c>
      <c r="F33" s="365">
        <v>11</v>
      </c>
      <c r="G33" s="365">
        <v>18</v>
      </c>
      <c r="H33" s="367"/>
    </row>
    <row r="34" spans="1:9">
      <c r="A34" s="357"/>
      <c r="B34" s="369" t="s">
        <v>825</v>
      </c>
      <c r="C34" s="355">
        <v>30</v>
      </c>
      <c r="D34" s="355"/>
      <c r="E34" s="355"/>
      <c r="F34" s="365"/>
      <c r="G34" s="365"/>
      <c r="H34" s="367"/>
    </row>
    <row r="35" spans="1:9" ht="19.5" customHeight="1">
      <c r="A35" s="357"/>
      <c r="B35" s="369" t="s">
        <v>826</v>
      </c>
      <c r="C35" s="355">
        <v>0</v>
      </c>
      <c r="D35" s="355"/>
      <c r="E35" s="355"/>
      <c r="F35" s="365"/>
      <c r="G35" s="365"/>
      <c r="H35" s="367"/>
    </row>
    <row r="36" spans="1:9" ht="30">
      <c r="A36" s="357"/>
      <c r="B36" s="368" t="s">
        <v>827</v>
      </c>
      <c r="C36" s="355">
        <v>250</v>
      </c>
      <c r="D36" s="355">
        <v>115.5</v>
      </c>
      <c r="E36" s="355">
        <v>250</v>
      </c>
      <c r="F36" s="365">
        <v>115.5</v>
      </c>
      <c r="G36" s="365">
        <v>567.88199999999995</v>
      </c>
      <c r="H36" s="370">
        <f>G26+G27+G28+G29+G30+G31+G32+G33+G36</f>
        <v>13610.798000000001</v>
      </c>
    </row>
    <row r="37" spans="1:9">
      <c r="A37" s="362" t="s">
        <v>828</v>
      </c>
      <c r="B37" s="369" t="s">
        <v>829</v>
      </c>
      <c r="C37" s="355">
        <v>475</v>
      </c>
      <c r="D37" s="355">
        <v>211.76499999999999</v>
      </c>
      <c r="E37" s="355">
        <f>1139.4-835.38+30</f>
        <v>334.0200000000001</v>
      </c>
      <c r="F37" s="365">
        <v>335.33199999999999</v>
      </c>
      <c r="G37" s="365">
        <v>335.3</v>
      </c>
    </row>
    <row r="38" spans="1:9">
      <c r="A38" s="362" t="s">
        <v>830</v>
      </c>
      <c r="B38" s="369" t="s">
        <v>831</v>
      </c>
      <c r="C38" s="355">
        <v>820</v>
      </c>
      <c r="D38" s="355"/>
      <c r="E38" s="355">
        <v>835.38</v>
      </c>
      <c r="F38" s="365">
        <v>836.32500000000005</v>
      </c>
      <c r="G38" s="365">
        <v>836.33</v>
      </c>
    </row>
    <row r="39" spans="1:9">
      <c r="A39" s="362" t="s">
        <v>832</v>
      </c>
      <c r="B39" s="369" t="s">
        <v>833</v>
      </c>
      <c r="C39" s="355">
        <v>100</v>
      </c>
      <c r="D39" s="355"/>
      <c r="E39" s="355"/>
      <c r="F39" s="365"/>
      <c r="G39" s="365"/>
      <c r="H39" s="371">
        <f>H15+H36</f>
        <v>34088.522000000004</v>
      </c>
    </row>
    <row r="40" spans="1:9">
      <c r="A40" s="362" t="s">
        <v>834</v>
      </c>
      <c r="B40" s="369" t="s">
        <v>835</v>
      </c>
      <c r="C40" s="355">
        <v>400</v>
      </c>
      <c r="D40" s="355"/>
      <c r="E40" s="355">
        <v>415</v>
      </c>
      <c r="F40" s="365">
        <v>410</v>
      </c>
      <c r="G40" s="365">
        <v>410</v>
      </c>
    </row>
    <row r="41" spans="1:9">
      <c r="A41" s="362" t="s">
        <v>836</v>
      </c>
      <c r="B41" s="369" t="s">
        <v>837</v>
      </c>
      <c r="C41" s="355">
        <v>300</v>
      </c>
      <c r="D41" s="355"/>
      <c r="E41" s="355">
        <f>(55564.19+84586.84)/1000</f>
        <v>140.15102999999999</v>
      </c>
      <c r="F41" s="365">
        <f>1.601+42.175+2.134+24.6+6.018+4.1+151.41</f>
        <v>232.03799999999998</v>
      </c>
      <c r="G41" s="365">
        <v>254.6</v>
      </c>
      <c r="H41" s="347">
        <f>14.7+4.5+1.4+1.1+0.2+1.79+0.01+0.132+0.057+49.3+30+45.39+99.97+6.044</f>
        <v>254.59300000000002</v>
      </c>
      <c r="I41" s="347">
        <f>14.7+4.5+1.4+1.1+1.79+0.2+0.1+0.132+0.057+49.3+30+45.396+99.97+6.044</f>
        <v>254.68900000000002</v>
      </c>
    </row>
    <row r="42" spans="1:9">
      <c r="A42" s="362" t="s">
        <v>838</v>
      </c>
      <c r="B42" s="369" t="s">
        <v>839</v>
      </c>
      <c r="C42" s="355">
        <v>200</v>
      </c>
      <c r="D42" s="355"/>
      <c r="E42" s="355">
        <f>106</f>
        <v>106</v>
      </c>
      <c r="F42" s="365">
        <f>14.7+4.5+1.4+1.1+1.79+0.2+0.01+0.132+0.057+49.3+30+45.39+99.979+6.044</f>
        <v>254.602</v>
      </c>
      <c r="G42" s="365">
        <v>80.614000000000004</v>
      </c>
      <c r="H42" s="347">
        <f>1.601+42.175+2.134+24.6+6.01+0.1+4.1+0.132+0.57</f>
        <v>81.421999999999983</v>
      </c>
      <c r="I42" s="347">
        <f>1.6+42.17+2.134+24.6+6.01+4.1</f>
        <v>80.614000000000004</v>
      </c>
    </row>
    <row r="43" spans="1:9">
      <c r="A43" s="362" t="s">
        <v>840</v>
      </c>
      <c r="B43" s="369" t="s">
        <v>841</v>
      </c>
      <c r="C43" s="355">
        <v>10000</v>
      </c>
      <c r="D43" s="365">
        <v>250.21700000000001</v>
      </c>
      <c r="E43" s="365">
        <v>3269.8</v>
      </c>
      <c r="F43" s="365">
        <v>3269.7979999999998</v>
      </c>
      <c r="G43" s="365">
        <v>3269.8</v>
      </c>
    </row>
    <row r="44" spans="1:9" ht="30">
      <c r="A44" s="362" t="s">
        <v>842</v>
      </c>
      <c r="B44" s="368" t="s">
        <v>843</v>
      </c>
      <c r="C44" s="355">
        <v>100</v>
      </c>
      <c r="D44" s="355"/>
      <c r="E44" s="355"/>
      <c r="F44" s="365"/>
      <c r="G44" s="365"/>
    </row>
    <row r="45" spans="1:9" ht="15.75">
      <c r="A45" s="357"/>
      <c r="B45" s="372" t="s">
        <v>844</v>
      </c>
      <c r="C45" s="373">
        <f>SUM(C15:C44)</f>
        <v>39271.599999999999</v>
      </c>
      <c r="D45" s="373">
        <f>SUM(D15:D44)</f>
        <v>17471.081999999999</v>
      </c>
      <c r="E45" s="373">
        <f>SUM(E15:E44)</f>
        <v>38520.177252222216</v>
      </c>
      <c r="F45" s="374">
        <f>SUM(F15:F44)</f>
        <v>38650.341</v>
      </c>
      <c r="G45" s="374">
        <f>SUM(G15:G44)</f>
        <v>39275.166000000005</v>
      </c>
    </row>
    <row r="46" spans="1:9" ht="28.5" hidden="1">
      <c r="A46" s="354"/>
      <c r="B46" s="375" t="s">
        <v>845</v>
      </c>
      <c r="C46" s="376"/>
      <c r="D46" s="372">
        <v>39623.620000000003</v>
      </c>
      <c r="E46" s="372">
        <f>E8-E45</f>
        <v>18799.322747777784</v>
      </c>
      <c r="F46" s="377">
        <f>F8-F45</f>
        <v>18669.159</v>
      </c>
      <c r="G46" s="377">
        <f>G8-G45</f>
        <v>18044.333999999995</v>
      </c>
    </row>
    <row r="47" spans="1:9" hidden="1">
      <c r="A47" s="352"/>
      <c r="B47" s="372" t="s">
        <v>846</v>
      </c>
      <c r="C47" s="372"/>
      <c r="D47" s="372">
        <v>21575.72</v>
      </c>
      <c r="E47" s="372">
        <f>E46-E48</f>
        <v>751.42274777778221</v>
      </c>
      <c r="F47" s="377">
        <f>F46-F48</f>
        <v>620.2589999999982</v>
      </c>
      <c r="G47" s="377">
        <f>G46-G48</f>
        <v>3.9999999935389496E-3</v>
      </c>
    </row>
    <row r="48" spans="1:9" hidden="1">
      <c r="A48" s="352"/>
      <c r="B48" s="372" t="s">
        <v>847</v>
      </c>
      <c r="C48" s="372">
        <v>18047.900000000001</v>
      </c>
      <c r="D48" s="372">
        <v>18047.900000000001</v>
      </c>
      <c r="E48" s="372">
        <v>18047.900000000001</v>
      </c>
      <c r="F48" s="377">
        <v>18048.900000000001</v>
      </c>
      <c r="G48" s="377">
        <v>18044.330000000002</v>
      </c>
    </row>
    <row r="50" spans="1:7" ht="18" hidden="1" customHeight="1">
      <c r="B50" s="378" t="s">
        <v>848</v>
      </c>
      <c r="C50" s="1688" t="s">
        <v>849</v>
      </c>
      <c r="D50" s="1688"/>
    </row>
    <row r="51" spans="1:7" ht="17.25" hidden="1">
      <c r="B51" s="378" t="s">
        <v>850</v>
      </c>
      <c r="C51" s="378" t="s">
        <v>851</v>
      </c>
      <c r="D51" s="378"/>
      <c r="E51" s="378"/>
      <c r="F51" s="378"/>
      <c r="G51" s="378"/>
    </row>
    <row r="52" spans="1:7" ht="42.75">
      <c r="A52" s="357"/>
      <c r="B52" s="375" t="s">
        <v>1269</v>
      </c>
      <c r="C52" s="356"/>
      <c r="D52" s="356"/>
      <c r="E52" s="356"/>
      <c r="F52" s="379"/>
      <c r="G52" s="379">
        <f>G45-G32-G22</f>
        <v>9137.427000000007</v>
      </c>
    </row>
    <row r="53" spans="1:7">
      <c r="A53" s="357"/>
      <c r="B53" s="369" t="s">
        <v>852</v>
      </c>
      <c r="C53" s="355"/>
      <c r="D53" s="355"/>
      <c r="E53" s="355"/>
      <c r="F53" s="365"/>
      <c r="G53" s="365">
        <f>G52*0.477</f>
        <v>4358.5526790000031</v>
      </c>
    </row>
    <row r="54" spans="1:7">
      <c r="A54" s="352"/>
      <c r="B54" s="369" t="s">
        <v>853</v>
      </c>
      <c r="C54" s="352"/>
      <c r="D54" s="352"/>
      <c r="E54" s="352"/>
      <c r="F54" s="352"/>
      <c r="G54" s="365">
        <f>G52*0.347</f>
        <v>3170.6871690000021</v>
      </c>
    </row>
    <row r="57" spans="1:7">
      <c r="A57" s="630"/>
      <c r="B57" s="630" t="s">
        <v>1216</v>
      </c>
      <c r="C57" s="630" t="s">
        <v>1264</v>
      </c>
      <c r="D57" s="630"/>
      <c r="E57" s="630"/>
      <c r="F57" s="630"/>
      <c r="G57" s="630"/>
    </row>
  </sheetData>
  <mergeCells count="6">
    <mergeCell ref="H15:H24"/>
    <mergeCell ref="C50:D50"/>
    <mergeCell ref="A1:G1"/>
    <mergeCell ref="A2:G2"/>
    <mergeCell ref="A5:B5"/>
    <mergeCell ref="A13:C13"/>
  </mergeCells>
  <pageMargins left="0.9055118110236221" right="0.19685039370078741" top="0.35433070866141736" bottom="0.35433070866141736" header="0.31496062992125984" footer="0.31496062992125984"/>
  <pageSetup paperSize="9" scale="75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8:O17"/>
  <sheetViews>
    <sheetView workbookViewId="0">
      <selection activeCell="I56" sqref="I56"/>
    </sheetView>
  </sheetViews>
  <sheetFormatPr defaultColWidth="8.85546875" defaultRowHeight="15"/>
  <sheetData>
    <row r="8" spans="15:15">
      <c r="O8">
        <f>O9+O17+O22</f>
        <v>590363.75774170004</v>
      </c>
    </row>
    <row r="9" spans="15:15">
      <c r="O9" s="134">
        <f>'К ВС'!N322</f>
        <v>590363.75774170004</v>
      </c>
    </row>
    <row r="17" spans="14:14">
      <c r="N17" s="134">
        <f>'К ВС'!N324</f>
        <v>125555.68150020801</v>
      </c>
    </row>
  </sheetData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2"/>
  <sheetViews>
    <sheetView topLeftCell="A46" workbookViewId="0">
      <selection activeCell="L106" sqref="L106"/>
    </sheetView>
  </sheetViews>
  <sheetFormatPr defaultColWidth="10.42578125" defaultRowHeight="15"/>
  <cols>
    <col min="1" max="1" width="11.42578125" customWidth="1"/>
    <col min="2" max="2" width="33" customWidth="1"/>
    <col min="3" max="4" width="10.42578125" customWidth="1"/>
    <col min="5" max="5" width="10.7109375" customWidth="1"/>
    <col min="6" max="6" width="12.42578125" customWidth="1"/>
    <col min="7" max="7" width="10.7109375" customWidth="1"/>
    <col min="8" max="8" width="12.28515625" customWidth="1"/>
    <col min="9" max="9" width="10.7109375" bestFit="1" customWidth="1"/>
    <col min="10" max="10" width="11.85546875" customWidth="1"/>
    <col min="11" max="12" width="10.42578125" customWidth="1"/>
    <col min="13" max="13" width="10.42578125" bestFit="1" customWidth="1"/>
    <col min="14" max="16" width="10.42578125" customWidth="1"/>
    <col min="17" max="17" width="10.42578125" bestFit="1" customWidth="1"/>
    <col min="18" max="20" width="10.42578125" customWidth="1"/>
    <col min="21" max="21" width="10.42578125" bestFit="1" customWidth="1"/>
    <col min="22" max="22" width="11.7109375" customWidth="1"/>
    <col min="24" max="24" width="10.42578125" customWidth="1"/>
    <col min="25" max="28" width="10.42578125" hidden="1" customWidth="1"/>
    <col min="29" max="29" width="0" hidden="1" customWidth="1"/>
  </cols>
  <sheetData>
    <row r="1" spans="1:28" ht="19.5" thickBot="1">
      <c r="A1" s="485" t="s">
        <v>1383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W1" s="487" t="s">
        <v>1140</v>
      </c>
      <c r="Z1" s="488"/>
      <c r="AA1" s="488"/>
      <c r="AB1" s="487" t="s">
        <v>1140</v>
      </c>
    </row>
    <row r="2" spans="1:28" ht="15.75" thickBot="1">
      <c r="A2" s="489" t="s">
        <v>539</v>
      </c>
      <c r="B2" s="489" t="s">
        <v>1141</v>
      </c>
      <c r="C2" s="490" t="s">
        <v>1142</v>
      </c>
      <c r="D2" s="491" t="s">
        <v>1143</v>
      </c>
      <c r="E2" s="492" t="s">
        <v>1144</v>
      </c>
      <c r="F2" s="493" t="s">
        <v>1145</v>
      </c>
      <c r="G2" s="493" t="s">
        <v>1146</v>
      </c>
      <c r="H2" s="862" t="s">
        <v>1147</v>
      </c>
      <c r="I2" s="492" t="s">
        <v>1148</v>
      </c>
      <c r="J2" s="493" t="s">
        <v>1149</v>
      </c>
      <c r="K2" s="493" t="s">
        <v>1150</v>
      </c>
      <c r="L2" s="491" t="s">
        <v>1151</v>
      </c>
      <c r="M2" s="492" t="s">
        <v>1152</v>
      </c>
      <c r="N2" s="493" t="s">
        <v>1153</v>
      </c>
      <c r="O2" s="493" t="s">
        <v>1154</v>
      </c>
      <c r="P2" s="491" t="s">
        <v>1155</v>
      </c>
      <c r="Q2" s="492" t="s">
        <v>1156</v>
      </c>
      <c r="R2" s="493" t="s">
        <v>1157</v>
      </c>
      <c r="S2" s="493" t="s">
        <v>1158</v>
      </c>
      <c r="T2" s="491" t="s">
        <v>1159</v>
      </c>
      <c r="U2" s="492" t="s">
        <v>1160</v>
      </c>
      <c r="V2" s="493" t="s">
        <v>1161</v>
      </c>
      <c r="W2" s="493" t="s">
        <v>1162</v>
      </c>
      <c r="X2" s="491" t="s">
        <v>1163</v>
      </c>
      <c r="Y2" s="492" t="s">
        <v>1164</v>
      </c>
      <c r="Z2" s="493" t="s">
        <v>1165</v>
      </c>
      <c r="AA2" s="493" t="s">
        <v>1166</v>
      </c>
      <c r="AB2" s="491" t="s">
        <v>1167</v>
      </c>
    </row>
    <row r="3" spans="1:28" ht="39" hidden="1" thickBot="1">
      <c r="A3" s="494" t="s">
        <v>1168</v>
      </c>
      <c r="B3" s="926" t="s">
        <v>1169</v>
      </c>
      <c r="C3" s="927">
        <v>644537</v>
      </c>
      <c r="D3" s="928">
        <f t="shared" ref="D3:AB3" si="0">C45</f>
        <v>582201.59214611864</v>
      </c>
      <c r="E3" s="929">
        <f t="shared" si="0"/>
        <v>2052.6031050228048</v>
      </c>
      <c r="F3" s="930">
        <f t="shared" si="0"/>
        <v>1545.5209132420132</v>
      </c>
      <c r="G3" s="930">
        <f t="shared" si="0"/>
        <v>4120.5715981735266</v>
      </c>
      <c r="H3" s="931">
        <f t="shared" si="0"/>
        <v>1448.1770776255871</v>
      </c>
      <c r="I3" s="894">
        <f t="shared" si="0"/>
        <v>4803.5191945505212</v>
      </c>
      <c r="J3" s="895">
        <f t="shared" si="0"/>
        <v>4758.8613114754553</v>
      </c>
      <c r="K3" s="895">
        <f t="shared" si="0"/>
        <v>-28785.353551912529</v>
      </c>
      <c r="L3" s="896">
        <f t="shared" si="0"/>
        <v>-28814.227868852438</v>
      </c>
      <c r="M3" s="932">
        <f t="shared" si="0"/>
        <v>-23390.140437158465</v>
      </c>
      <c r="N3" s="930">
        <f t="shared" si="0"/>
        <v>-17961.461793547438</v>
      </c>
      <c r="O3" s="930">
        <f t="shared" si="0"/>
        <v>-373988.70632073667</v>
      </c>
      <c r="P3" s="928">
        <f t="shared" si="0"/>
        <v>-338111.72549881885</v>
      </c>
      <c r="Q3" s="929">
        <f t="shared" si="0"/>
        <v>-339280.54193717503</v>
      </c>
      <c r="R3" s="930">
        <f t="shared" si="0"/>
        <v>-341041.18577279145</v>
      </c>
      <c r="S3" s="930">
        <f t="shared" si="0"/>
        <v>-342383.04878649005</v>
      </c>
      <c r="T3" s="928">
        <f t="shared" si="0"/>
        <v>-348084.45700566814</v>
      </c>
      <c r="U3" s="929">
        <f t="shared" si="0"/>
        <v>-345330.16385498323</v>
      </c>
      <c r="V3" s="930">
        <f t="shared" si="0"/>
        <v>-344090.6022111476</v>
      </c>
      <c r="W3" s="930">
        <f t="shared" si="0"/>
        <v>-342460.2241289558</v>
      </c>
      <c r="X3" s="928">
        <f t="shared" si="0"/>
        <v>-335429.15563580516</v>
      </c>
      <c r="Y3" s="932">
        <f t="shared" si="0"/>
        <v>-330243.88440292847</v>
      </c>
      <c r="Z3" s="930">
        <f t="shared" si="0"/>
        <v>-309530.41043032572</v>
      </c>
      <c r="AA3" s="930">
        <f t="shared" si="0"/>
        <v>-275528.87436475197</v>
      </c>
      <c r="AB3" s="928">
        <f t="shared" si="0"/>
        <v>-228491.57381830388</v>
      </c>
    </row>
    <row r="4" spans="1:28" ht="12.75" hidden="1" customHeight="1">
      <c r="A4" s="1692" t="s">
        <v>1170</v>
      </c>
      <c r="B4" s="1693"/>
      <c r="C4" s="921"/>
      <c r="D4" s="922"/>
      <c r="E4" s="921"/>
      <c r="F4" s="923"/>
      <c r="G4" s="923"/>
      <c r="H4" s="924"/>
      <c r="I4" s="495"/>
      <c r="J4" s="497"/>
      <c r="K4" s="497"/>
      <c r="L4" s="496"/>
      <c r="M4" s="925"/>
      <c r="N4" s="923"/>
      <c r="O4" s="923"/>
      <c r="P4" s="922"/>
      <c r="Q4" s="921"/>
      <c r="R4" s="923"/>
      <c r="S4" s="923"/>
      <c r="T4" s="922"/>
      <c r="U4" s="921"/>
      <c r="V4" s="923"/>
      <c r="W4" s="923"/>
      <c r="X4" s="922"/>
      <c r="Y4" s="925"/>
      <c r="Z4" s="923"/>
      <c r="AA4" s="923"/>
      <c r="AB4" s="922"/>
    </row>
    <row r="5" spans="1:28" ht="26.25" hidden="1" thickBot="1">
      <c r="A5" s="498" t="s">
        <v>928</v>
      </c>
      <c r="B5" s="499" t="s">
        <v>1171</v>
      </c>
      <c r="C5" s="500">
        <f>C6</f>
        <v>150000</v>
      </c>
      <c r="D5" s="501">
        <f t="shared" ref="D5:AB5" si="1">D6</f>
        <v>490650</v>
      </c>
      <c r="E5" s="500">
        <f t="shared" si="1"/>
        <v>499800</v>
      </c>
      <c r="F5" s="502">
        <f t="shared" si="1"/>
        <v>500100</v>
      </c>
      <c r="G5" s="502">
        <f t="shared" si="1"/>
        <v>502100</v>
      </c>
      <c r="H5" s="864">
        <f t="shared" si="1"/>
        <v>502100</v>
      </c>
      <c r="I5" s="500">
        <f t="shared" si="1"/>
        <v>512200</v>
      </c>
      <c r="J5" s="502">
        <f t="shared" si="1"/>
        <v>512200</v>
      </c>
      <c r="K5" s="502">
        <f t="shared" si="1"/>
        <v>512200</v>
      </c>
      <c r="L5" s="501">
        <f t="shared" si="1"/>
        <v>512200</v>
      </c>
      <c r="M5" s="880">
        <f t="shared" si="1"/>
        <v>517322</v>
      </c>
      <c r="N5" s="502">
        <f t="shared" si="1"/>
        <v>517322</v>
      </c>
      <c r="O5" s="502">
        <f t="shared" si="1"/>
        <v>517322</v>
      </c>
      <c r="P5" s="501">
        <f t="shared" si="1"/>
        <v>517322</v>
      </c>
      <c r="Q5" s="500">
        <f t="shared" si="1"/>
        <v>527544</v>
      </c>
      <c r="R5" s="502">
        <f t="shared" si="1"/>
        <v>527544</v>
      </c>
      <c r="S5" s="502">
        <f t="shared" si="1"/>
        <v>527544</v>
      </c>
      <c r="T5" s="501">
        <f t="shared" si="1"/>
        <v>527544</v>
      </c>
      <c r="U5" s="500">
        <f t="shared" si="1"/>
        <v>537400</v>
      </c>
      <c r="V5" s="502">
        <f t="shared" si="1"/>
        <v>537400</v>
      </c>
      <c r="W5" s="502">
        <f t="shared" si="1"/>
        <v>537400</v>
      </c>
      <c r="X5" s="501">
        <f t="shared" si="1"/>
        <v>537400</v>
      </c>
      <c r="Y5" s="880">
        <f t="shared" si="1"/>
        <v>542774</v>
      </c>
      <c r="Z5" s="502">
        <f t="shared" si="1"/>
        <v>542774</v>
      </c>
      <c r="AA5" s="502">
        <f t="shared" si="1"/>
        <v>542774</v>
      </c>
      <c r="AB5" s="501">
        <f t="shared" si="1"/>
        <v>542774</v>
      </c>
    </row>
    <row r="6" spans="1:28" ht="26.25" hidden="1" thickBot="1">
      <c r="A6" s="503"/>
      <c r="B6" s="504" t="s">
        <v>1172</v>
      </c>
      <c r="C6" s="505">
        <v>150000</v>
      </c>
      <c r="D6" s="506">
        <v>490650</v>
      </c>
      <c r="E6" s="507">
        <f>499800</f>
        <v>499800</v>
      </c>
      <c r="F6" s="508">
        <v>500100</v>
      </c>
      <c r="G6" s="508">
        <v>502100</v>
      </c>
      <c r="H6" s="865">
        <v>502100</v>
      </c>
      <c r="I6" s="507">
        <v>512200</v>
      </c>
      <c r="J6" s="508">
        <v>512200</v>
      </c>
      <c r="K6" s="508">
        <v>512200</v>
      </c>
      <c r="L6" s="506">
        <v>512200</v>
      </c>
      <c r="M6" s="881">
        <v>517322</v>
      </c>
      <c r="N6" s="508">
        <v>517322</v>
      </c>
      <c r="O6" s="508">
        <v>517322</v>
      </c>
      <c r="P6" s="506">
        <v>517322</v>
      </c>
      <c r="Q6" s="507">
        <f>517200*1.02</f>
        <v>527544</v>
      </c>
      <c r="R6" s="508">
        <f>517200*1.02</f>
        <v>527544</v>
      </c>
      <c r="S6" s="508">
        <f>517200*1.02</f>
        <v>527544</v>
      </c>
      <c r="T6" s="506">
        <f>517200*1.02</f>
        <v>527544</v>
      </c>
      <c r="U6" s="507">
        <v>537400</v>
      </c>
      <c r="V6" s="508">
        <v>537400</v>
      </c>
      <c r="W6" s="508">
        <v>537400</v>
      </c>
      <c r="X6" s="506">
        <v>537400</v>
      </c>
      <c r="Y6" s="881">
        <f>537400*1.01</f>
        <v>542774</v>
      </c>
      <c r="Z6" s="508">
        <f>537400*1.01</f>
        <v>542774</v>
      </c>
      <c r="AA6" s="508">
        <f>537400*1.01</f>
        <v>542774</v>
      </c>
      <c r="AB6" s="506">
        <f>537400*1.01</f>
        <v>542774</v>
      </c>
    </row>
    <row r="7" spans="1:28" ht="26.25" hidden="1" thickBot="1">
      <c r="A7" s="856"/>
      <c r="B7" s="509" t="s">
        <v>1173</v>
      </c>
      <c r="C7" s="510"/>
      <c r="D7" s="511"/>
      <c r="E7" s="510"/>
      <c r="F7" s="512"/>
      <c r="G7" s="512"/>
      <c r="H7" s="866"/>
      <c r="I7" s="510"/>
      <c r="J7" s="512"/>
      <c r="K7" s="512"/>
      <c r="L7" s="511"/>
      <c r="M7" s="882"/>
      <c r="N7" s="512"/>
      <c r="O7" s="512"/>
      <c r="P7" s="511"/>
      <c r="Q7" s="510"/>
      <c r="R7" s="512"/>
      <c r="S7" s="512"/>
      <c r="T7" s="511"/>
      <c r="U7" s="510"/>
      <c r="V7" s="512"/>
      <c r="W7" s="512"/>
      <c r="X7" s="511"/>
      <c r="Y7" s="882"/>
      <c r="Z7" s="512"/>
      <c r="AA7" s="512"/>
      <c r="AB7" s="511"/>
    </row>
    <row r="8" spans="1:28" ht="23.25" hidden="1" thickBot="1">
      <c r="A8" s="856" t="s">
        <v>815</v>
      </c>
      <c r="B8" s="513" t="s">
        <v>1174</v>
      </c>
      <c r="C8" s="510"/>
      <c r="D8" s="511"/>
      <c r="E8" s="510"/>
      <c r="F8" s="512"/>
      <c r="G8" s="512"/>
      <c r="H8" s="866"/>
      <c r="I8" s="510"/>
      <c r="J8" s="512"/>
      <c r="K8" s="512"/>
      <c r="L8" s="511"/>
      <c r="M8" s="882"/>
      <c r="N8" s="512"/>
      <c r="O8" s="634">
        <f>O9+O17+O22</f>
        <v>1220685.7577416999</v>
      </c>
      <c r="P8" s="511"/>
      <c r="Q8" s="510"/>
      <c r="R8" s="512"/>
      <c r="S8" s="512"/>
      <c r="T8" s="511"/>
      <c r="U8" s="510"/>
      <c r="V8" s="512"/>
      <c r="W8" s="512"/>
      <c r="X8" s="511"/>
      <c r="Y8" s="882"/>
      <c r="Z8" s="512"/>
      <c r="AA8" s="512"/>
      <c r="AB8" s="511"/>
    </row>
    <row r="9" spans="1:28" ht="15.75" hidden="1" thickBot="1">
      <c r="A9" s="856"/>
      <c r="B9" s="513" t="s">
        <v>1175</v>
      </c>
      <c r="C9" s="510"/>
      <c r="D9" s="511"/>
      <c r="E9" s="510"/>
      <c r="F9" s="512"/>
      <c r="G9" s="512"/>
      <c r="H9" s="866"/>
      <c r="I9" s="510"/>
      <c r="J9" s="512"/>
      <c r="K9" s="512"/>
      <c r="L9" s="511"/>
      <c r="M9" s="882"/>
      <c r="N9" s="512"/>
      <c r="O9" s="635">
        <f>'К ВС'!N322</f>
        <v>590363.75774170004</v>
      </c>
      <c r="P9" s="511"/>
      <c r="Q9" s="510"/>
      <c r="R9" s="512"/>
      <c r="S9" s="512"/>
      <c r="T9" s="511"/>
      <c r="U9" s="510"/>
      <c r="V9" s="512"/>
      <c r="W9" s="512"/>
      <c r="X9" s="511"/>
      <c r="Y9" s="882"/>
      <c r="Z9" s="512"/>
      <c r="AA9" s="512"/>
      <c r="AB9" s="511"/>
    </row>
    <row r="10" spans="1:28" ht="15.75" hidden="1" thickBot="1">
      <c r="A10" s="1694"/>
      <c r="B10" s="513" t="s">
        <v>1176</v>
      </c>
      <c r="C10" s="514"/>
      <c r="D10" s="515"/>
      <c r="E10" s="514"/>
      <c r="F10" s="516"/>
      <c r="G10" s="516"/>
      <c r="H10" s="867"/>
      <c r="I10" s="514"/>
      <c r="J10" s="516"/>
      <c r="K10" s="516"/>
      <c r="L10" s="515"/>
      <c r="M10" s="883"/>
      <c r="N10" s="516"/>
      <c r="O10" s="516"/>
      <c r="P10" s="515"/>
      <c r="Q10" s="514"/>
      <c r="R10" s="516"/>
      <c r="S10" s="516"/>
      <c r="T10" s="515"/>
      <c r="U10" s="514"/>
      <c r="V10" s="516"/>
      <c r="W10" s="516"/>
      <c r="X10" s="515"/>
      <c r="Y10" s="883"/>
      <c r="Z10" s="516"/>
      <c r="AA10" s="516"/>
      <c r="AB10" s="515"/>
    </row>
    <row r="11" spans="1:28" ht="90.75" hidden="1" thickBot="1">
      <c r="A11" s="1694"/>
      <c r="B11" s="517" t="s">
        <v>1177</v>
      </c>
      <c r="C11" s="518"/>
      <c r="D11" s="519"/>
      <c r="E11" s="520"/>
      <c r="F11" s="521"/>
      <c r="G11" s="522"/>
      <c r="H11" s="868"/>
      <c r="I11" s="520"/>
      <c r="J11" s="521"/>
      <c r="K11" s="522"/>
      <c r="L11" s="519"/>
      <c r="M11" s="884"/>
      <c r="N11" s="521"/>
      <c r="O11" s="522"/>
      <c r="P11" s="519"/>
      <c r="Q11" s="520"/>
      <c r="R11" s="521"/>
      <c r="S11" s="522"/>
      <c r="T11" s="519"/>
      <c r="U11" s="520"/>
      <c r="V11" s="521"/>
      <c r="W11" s="522"/>
      <c r="X11" s="519"/>
      <c r="Y11" s="884"/>
      <c r="Z11" s="521"/>
      <c r="AA11" s="522"/>
      <c r="AB11" s="519"/>
    </row>
    <row r="12" spans="1:28" ht="26.25" hidden="1" thickBot="1">
      <c r="A12" s="523" t="s">
        <v>1178</v>
      </c>
      <c r="B12" s="524" t="s">
        <v>1179</v>
      </c>
      <c r="C12" s="500">
        <f>C14+C15+C16</f>
        <v>523900</v>
      </c>
      <c r="D12" s="501">
        <f t="shared" ref="D12:AB12" si="2">D14+D15+D16</f>
        <v>25000</v>
      </c>
      <c r="E12" s="500">
        <f t="shared" si="2"/>
        <v>42000</v>
      </c>
      <c r="F12" s="502">
        <f t="shared" si="2"/>
        <v>26000</v>
      </c>
      <c r="G12" s="502">
        <f t="shared" si="2"/>
        <v>17000</v>
      </c>
      <c r="H12" s="864">
        <f t="shared" si="2"/>
        <v>0</v>
      </c>
      <c r="I12" s="500">
        <f t="shared" si="2"/>
        <v>0</v>
      </c>
      <c r="J12" s="502">
        <f t="shared" si="2"/>
        <v>0</v>
      </c>
      <c r="K12" s="502">
        <f t="shared" si="2"/>
        <v>0</v>
      </c>
      <c r="L12" s="501">
        <f t="shared" si="2"/>
        <v>0</v>
      </c>
      <c r="M12" s="880">
        <f t="shared" si="2"/>
        <v>0</v>
      </c>
      <c r="N12" s="502">
        <f t="shared" si="2"/>
        <v>0</v>
      </c>
      <c r="O12" s="502">
        <f t="shared" si="2"/>
        <v>0</v>
      </c>
      <c r="P12" s="501">
        <f t="shared" si="2"/>
        <v>0</v>
      </c>
      <c r="Q12" s="500">
        <f t="shared" si="2"/>
        <v>0</v>
      </c>
      <c r="R12" s="502">
        <f t="shared" si="2"/>
        <v>0</v>
      </c>
      <c r="S12" s="502">
        <f t="shared" si="2"/>
        <v>0</v>
      </c>
      <c r="T12" s="501">
        <f t="shared" si="2"/>
        <v>0</v>
      </c>
      <c r="U12" s="500">
        <f t="shared" si="2"/>
        <v>0</v>
      </c>
      <c r="V12" s="502">
        <f t="shared" si="2"/>
        <v>0</v>
      </c>
      <c r="W12" s="502">
        <f t="shared" si="2"/>
        <v>0</v>
      </c>
      <c r="X12" s="501">
        <f t="shared" si="2"/>
        <v>0</v>
      </c>
      <c r="Y12" s="880">
        <f t="shared" si="2"/>
        <v>0</v>
      </c>
      <c r="Z12" s="502">
        <f t="shared" si="2"/>
        <v>0</v>
      </c>
      <c r="AA12" s="502">
        <f t="shared" si="2"/>
        <v>0</v>
      </c>
      <c r="AB12" s="501">
        <f t="shared" si="2"/>
        <v>0</v>
      </c>
    </row>
    <row r="13" spans="1:28" ht="26.25" hidden="1" thickBot="1">
      <c r="A13" s="856"/>
      <c r="B13" s="509" t="s">
        <v>1180</v>
      </c>
      <c r="C13" s="510"/>
      <c r="D13" s="511"/>
      <c r="E13" s="525"/>
      <c r="F13" s="512"/>
      <c r="G13" s="512"/>
      <c r="H13" s="866"/>
      <c r="I13" s="525"/>
      <c r="J13" s="512"/>
      <c r="K13" s="512"/>
      <c r="L13" s="511"/>
      <c r="M13" s="885"/>
      <c r="N13" s="512"/>
      <c r="O13" s="512"/>
      <c r="P13" s="511"/>
      <c r="Q13" s="525"/>
      <c r="R13" s="512"/>
      <c r="S13" s="512"/>
      <c r="T13" s="511"/>
      <c r="U13" s="525"/>
      <c r="V13" s="512"/>
      <c r="W13" s="512"/>
      <c r="X13" s="511"/>
      <c r="Y13" s="885"/>
      <c r="Z13" s="512"/>
      <c r="AA13" s="512"/>
      <c r="AB13" s="511"/>
    </row>
    <row r="14" spans="1:28" ht="34.5" hidden="1" thickBot="1">
      <c r="A14" s="526"/>
      <c r="B14" s="527" t="s">
        <v>1181</v>
      </c>
      <c r="C14" s="528"/>
      <c r="D14" s="529">
        <v>25000</v>
      </c>
      <c r="E14" s="530">
        <v>42000</v>
      </c>
      <c r="F14" s="531">
        <v>26000</v>
      </c>
      <c r="G14" s="531">
        <v>17000</v>
      </c>
      <c r="H14" s="869"/>
      <c r="I14" s="528"/>
      <c r="J14" s="531"/>
      <c r="K14" s="531"/>
      <c r="L14" s="532"/>
      <c r="M14" s="886"/>
      <c r="N14" s="531"/>
      <c r="O14" s="531"/>
      <c r="P14" s="532"/>
      <c r="Q14" s="533"/>
      <c r="R14" s="531"/>
      <c r="S14" s="531"/>
      <c r="T14" s="532"/>
      <c r="U14" s="533"/>
      <c r="V14" s="531"/>
      <c r="W14" s="531"/>
      <c r="X14" s="532"/>
      <c r="Y14" s="886"/>
      <c r="Z14" s="531"/>
      <c r="AA14" s="531"/>
      <c r="AB14" s="532"/>
    </row>
    <row r="15" spans="1:28" ht="34.5" hidden="1" thickBot="1">
      <c r="A15" s="526"/>
      <c r="B15" s="527" t="s">
        <v>1182</v>
      </c>
      <c r="C15" s="528">
        <v>444000</v>
      </c>
      <c r="D15" s="532"/>
      <c r="E15" s="533"/>
      <c r="F15" s="531"/>
      <c r="G15" s="531"/>
      <c r="H15" s="869"/>
      <c r="I15" s="533"/>
      <c r="J15" s="531"/>
      <c r="K15" s="531"/>
      <c r="L15" s="532"/>
      <c r="M15" s="886"/>
      <c r="N15" s="531"/>
      <c r="O15" s="531"/>
      <c r="P15" s="532"/>
      <c r="Q15" s="533"/>
      <c r="R15" s="531"/>
      <c r="S15" s="531"/>
      <c r="T15" s="532"/>
      <c r="U15" s="533"/>
      <c r="V15" s="531"/>
      <c r="W15" s="531"/>
      <c r="X15" s="532"/>
      <c r="Y15" s="886"/>
      <c r="Z15" s="531"/>
      <c r="AA15" s="531"/>
      <c r="AB15" s="532"/>
    </row>
    <row r="16" spans="1:28" ht="23.25" hidden="1" thickBot="1">
      <c r="A16" s="526"/>
      <c r="B16" s="527" t="s">
        <v>1183</v>
      </c>
      <c r="C16" s="528">
        <v>79900</v>
      </c>
      <c r="D16" s="532"/>
      <c r="E16" s="533"/>
      <c r="F16" s="531"/>
      <c r="G16" s="531"/>
      <c r="H16" s="869"/>
      <c r="I16" s="533"/>
      <c r="J16" s="531"/>
      <c r="K16" s="531"/>
      <c r="L16" s="532"/>
      <c r="M16" s="886"/>
      <c r="N16" s="531"/>
      <c r="O16" s="531"/>
      <c r="P16" s="532"/>
      <c r="Q16" s="533"/>
      <c r="R16" s="531"/>
      <c r="S16" s="531"/>
      <c r="T16" s="532"/>
      <c r="U16" s="533"/>
      <c r="V16" s="531"/>
      <c r="W16" s="531"/>
      <c r="X16" s="532"/>
      <c r="Y16" s="886"/>
      <c r="Z16" s="531"/>
      <c r="AA16" s="531"/>
      <c r="AB16" s="532"/>
    </row>
    <row r="17" spans="1:29" ht="15.75" hidden="1" thickBot="1">
      <c r="A17" s="534" t="s">
        <v>1184</v>
      </c>
      <c r="B17" s="535" t="s">
        <v>1185</v>
      </c>
      <c r="C17" s="536">
        <f>C5+C12</f>
        <v>673900</v>
      </c>
      <c r="D17" s="537">
        <f t="shared" ref="D17:AB17" si="3">D5+D12</f>
        <v>515650</v>
      </c>
      <c r="E17" s="536">
        <f t="shared" si="3"/>
        <v>541800</v>
      </c>
      <c r="F17" s="538">
        <f t="shared" si="3"/>
        <v>526100</v>
      </c>
      <c r="G17" s="538">
        <f t="shared" si="3"/>
        <v>519100</v>
      </c>
      <c r="H17" s="870">
        <f t="shared" si="3"/>
        <v>502100</v>
      </c>
      <c r="I17" s="536">
        <f t="shared" si="3"/>
        <v>512200</v>
      </c>
      <c r="J17" s="538">
        <f t="shared" si="3"/>
        <v>512200</v>
      </c>
      <c r="K17" s="538">
        <f t="shared" si="3"/>
        <v>512200</v>
      </c>
      <c r="L17" s="537">
        <f t="shared" si="3"/>
        <v>512200</v>
      </c>
      <c r="M17" s="887">
        <f t="shared" si="3"/>
        <v>517322</v>
      </c>
      <c r="N17" s="538">
        <f>'К ВС'!N324</f>
        <v>125555.68150020801</v>
      </c>
      <c r="O17" s="538">
        <f t="shared" si="3"/>
        <v>517322</v>
      </c>
      <c r="P17" s="537">
        <f t="shared" si="3"/>
        <v>517322</v>
      </c>
      <c r="Q17" s="536">
        <f t="shared" si="3"/>
        <v>527544</v>
      </c>
      <c r="R17" s="538">
        <f t="shared" si="3"/>
        <v>527544</v>
      </c>
      <c r="S17" s="538">
        <f t="shared" si="3"/>
        <v>527544</v>
      </c>
      <c r="T17" s="537">
        <f t="shared" si="3"/>
        <v>527544</v>
      </c>
      <c r="U17" s="536">
        <f t="shared" si="3"/>
        <v>537400</v>
      </c>
      <c r="V17" s="538">
        <f t="shared" si="3"/>
        <v>537400</v>
      </c>
      <c r="W17" s="538">
        <f t="shared" si="3"/>
        <v>537400</v>
      </c>
      <c r="X17" s="537">
        <f t="shared" si="3"/>
        <v>537400</v>
      </c>
      <c r="Y17" s="887">
        <f t="shared" si="3"/>
        <v>542774</v>
      </c>
      <c r="Z17" s="538">
        <f t="shared" si="3"/>
        <v>542774</v>
      </c>
      <c r="AA17" s="538">
        <f t="shared" si="3"/>
        <v>542774</v>
      </c>
      <c r="AB17" s="537">
        <f t="shared" si="3"/>
        <v>542774</v>
      </c>
    </row>
    <row r="18" spans="1:29" ht="12.75" hidden="1" customHeight="1">
      <c r="A18" s="1695" t="s">
        <v>1186</v>
      </c>
      <c r="B18" s="1696"/>
      <c r="C18" s="495"/>
      <c r="D18" s="496"/>
      <c r="E18" s="495"/>
      <c r="F18" s="497"/>
      <c r="G18" s="497"/>
      <c r="H18" s="863"/>
      <c r="I18" s="495"/>
      <c r="J18" s="497"/>
      <c r="K18" s="497"/>
      <c r="L18" s="496"/>
      <c r="M18" s="879"/>
      <c r="N18" s="497"/>
      <c r="O18" s="497"/>
      <c r="P18" s="496"/>
      <c r="Q18" s="495"/>
      <c r="R18" s="497"/>
      <c r="S18" s="497"/>
      <c r="T18" s="496"/>
      <c r="U18" s="495"/>
      <c r="V18" s="497"/>
      <c r="W18" s="497"/>
      <c r="X18" s="496"/>
      <c r="Y18" s="879"/>
      <c r="Z18" s="497"/>
      <c r="AA18" s="497"/>
      <c r="AB18" s="496"/>
    </row>
    <row r="19" spans="1:29" ht="26.25" hidden="1" thickBot="1">
      <c r="A19" s="498" t="s">
        <v>1187</v>
      </c>
      <c r="B19" s="539" t="s">
        <v>1188</v>
      </c>
      <c r="C19" s="500">
        <f>C20+C21+C22+C23</f>
        <v>195374.33333333334</v>
      </c>
      <c r="D19" s="501">
        <f t="shared" ref="D19:AB19" si="4">D20+D21+D22+D23</f>
        <v>508425</v>
      </c>
      <c r="E19" s="500">
        <f t="shared" si="4"/>
        <v>446416</v>
      </c>
      <c r="F19" s="502">
        <f t="shared" si="4"/>
        <v>444144</v>
      </c>
      <c r="G19" s="502">
        <f t="shared" si="4"/>
        <v>442091.2</v>
      </c>
      <c r="H19" s="864">
        <f t="shared" si="4"/>
        <v>450500</v>
      </c>
      <c r="I19" s="500">
        <f t="shared" si="4"/>
        <v>447000</v>
      </c>
      <c r="J19" s="502">
        <f t="shared" si="4"/>
        <v>449000</v>
      </c>
      <c r="K19" s="502">
        <f t="shared" si="4"/>
        <v>447000</v>
      </c>
      <c r="L19" s="501">
        <f t="shared" si="4"/>
        <v>459000</v>
      </c>
      <c r="M19" s="880">
        <f t="shared" si="4"/>
        <v>449800</v>
      </c>
      <c r="N19" s="502">
        <f t="shared" si="4"/>
        <v>449800</v>
      </c>
      <c r="O19" s="502">
        <f t="shared" si="4"/>
        <v>450000</v>
      </c>
      <c r="P19" s="501">
        <f t="shared" si="4"/>
        <v>462500</v>
      </c>
      <c r="Q19" s="500">
        <f t="shared" si="4"/>
        <v>463971</v>
      </c>
      <c r="R19" s="502">
        <f t="shared" si="4"/>
        <v>463900</v>
      </c>
      <c r="S19" s="502">
        <f t="shared" si="4"/>
        <v>463617.2</v>
      </c>
      <c r="T19" s="501">
        <f t="shared" si="4"/>
        <v>476327</v>
      </c>
      <c r="U19" s="500">
        <f t="shared" si="4"/>
        <v>474700</v>
      </c>
      <c r="V19" s="502">
        <f t="shared" si="4"/>
        <v>474700</v>
      </c>
      <c r="W19" s="502">
        <f t="shared" si="4"/>
        <v>474700</v>
      </c>
      <c r="X19" s="501">
        <f t="shared" si="4"/>
        <v>487000</v>
      </c>
      <c r="Y19" s="880">
        <f t="shared" si="4"/>
        <v>477300</v>
      </c>
      <c r="Z19" s="502">
        <f t="shared" si="4"/>
        <v>475300</v>
      </c>
      <c r="AA19" s="502">
        <f t="shared" si="4"/>
        <v>474300</v>
      </c>
      <c r="AB19" s="501">
        <f t="shared" si="4"/>
        <v>492500</v>
      </c>
    </row>
    <row r="20" spans="1:29" ht="15.75" hidden="1" thickBot="1">
      <c r="A20" s="540"/>
      <c r="B20" s="541" t="s">
        <v>1189</v>
      </c>
      <c r="C20" s="542">
        <f>26000+168000/3</f>
        <v>82000</v>
      </c>
      <c r="D20" s="543">
        <f>168000+46425</f>
        <v>214425</v>
      </c>
      <c r="E20" s="544">
        <v>165000</v>
      </c>
      <c r="F20" s="545">
        <f>165000</f>
        <v>165000</v>
      </c>
      <c r="G20" s="545">
        <f>165000</f>
        <v>165000</v>
      </c>
      <c r="H20" s="839">
        <v>165000</v>
      </c>
      <c r="I20" s="544">
        <v>167000</v>
      </c>
      <c r="J20" s="545">
        <v>167000</v>
      </c>
      <c r="K20" s="545">
        <v>167000</v>
      </c>
      <c r="L20" s="543">
        <v>169000</v>
      </c>
      <c r="M20" s="888">
        <v>167800</v>
      </c>
      <c r="N20" s="545">
        <v>167800</v>
      </c>
      <c r="O20" s="545">
        <v>168000</v>
      </c>
      <c r="P20" s="543">
        <v>170000</v>
      </c>
      <c r="Q20" s="544">
        <v>169000</v>
      </c>
      <c r="R20" s="545">
        <v>169000</v>
      </c>
      <c r="S20" s="545">
        <v>169000</v>
      </c>
      <c r="T20" s="543">
        <v>172000</v>
      </c>
      <c r="U20" s="544">
        <v>172000</v>
      </c>
      <c r="V20" s="545">
        <v>172000</v>
      </c>
      <c r="W20" s="545">
        <v>172000</v>
      </c>
      <c r="X20" s="543">
        <v>175000</v>
      </c>
      <c r="Y20" s="888">
        <v>172500</v>
      </c>
      <c r="Z20" s="545">
        <v>172500</v>
      </c>
      <c r="AA20" s="545">
        <v>172500</v>
      </c>
      <c r="AB20" s="543">
        <v>176500</v>
      </c>
    </row>
    <row r="21" spans="1:29" ht="15.75" hidden="1" thickBot="1">
      <c r="A21" s="546"/>
      <c r="B21" s="547" t="s">
        <v>1190</v>
      </c>
      <c r="C21" s="542">
        <f>123000/3</f>
        <v>41000</v>
      </c>
      <c r="D21" s="543">
        <v>134000</v>
      </c>
      <c r="E21" s="544">
        <f>115550+(115550/100*12)</f>
        <v>129416</v>
      </c>
      <c r="F21" s="545">
        <v>129144</v>
      </c>
      <c r="G21" s="545">
        <f>115260+(115260/100*12)</f>
        <v>129091.2</v>
      </c>
      <c r="H21" s="839">
        <v>135000</v>
      </c>
      <c r="I21" s="544">
        <v>130000</v>
      </c>
      <c r="J21" s="545">
        <v>130000</v>
      </c>
      <c r="K21" s="545">
        <v>130000</v>
      </c>
      <c r="L21" s="543">
        <v>138000</v>
      </c>
      <c r="M21" s="888">
        <v>131000</v>
      </c>
      <c r="N21" s="545">
        <v>131000</v>
      </c>
      <c r="O21" s="545">
        <v>131000</v>
      </c>
      <c r="P21" s="543">
        <v>139500</v>
      </c>
      <c r="Q21" s="544">
        <f>115550+(115550/100*22)</f>
        <v>140971</v>
      </c>
      <c r="R21" s="545">
        <v>140900</v>
      </c>
      <c r="S21" s="545">
        <f>115260+(115260/100*22)</f>
        <v>140617.20000000001</v>
      </c>
      <c r="T21" s="543">
        <v>147327</v>
      </c>
      <c r="U21" s="544">
        <v>142700</v>
      </c>
      <c r="V21" s="545">
        <v>142700</v>
      </c>
      <c r="W21" s="545">
        <v>142700</v>
      </c>
      <c r="X21" s="543">
        <v>148000</v>
      </c>
      <c r="Y21" s="888">
        <v>143800</v>
      </c>
      <c r="Z21" s="545">
        <v>143800</v>
      </c>
      <c r="AA21" s="545">
        <v>143800</v>
      </c>
      <c r="AB21" s="543">
        <v>150000</v>
      </c>
    </row>
    <row r="22" spans="1:29" ht="39" hidden="1" thickBot="1">
      <c r="A22" s="540"/>
      <c r="B22" s="541" t="s">
        <v>1191</v>
      </c>
      <c r="C22" s="542">
        <f>100000/3+13041</f>
        <v>46374.333333333336</v>
      </c>
      <c r="D22" s="543">
        <v>110000</v>
      </c>
      <c r="E22" s="544">
        <v>110000</v>
      </c>
      <c r="F22" s="545">
        <v>110000</v>
      </c>
      <c r="G22" s="545">
        <v>110000</v>
      </c>
      <c r="H22" s="871">
        <v>112500</v>
      </c>
      <c r="I22" s="544">
        <v>112000</v>
      </c>
      <c r="J22" s="545">
        <v>112000</v>
      </c>
      <c r="K22" s="545">
        <v>112000</v>
      </c>
      <c r="L22" s="543">
        <v>114000</v>
      </c>
      <c r="M22" s="888">
        <v>113000</v>
      </c>
      <c r="N22" s="545">
        <v>113000</v>
      </c>
      <c r="O22" s="545">
        <v>113000</v>
      </c>
      <c r="P22" s="548">
        <v>115000</v>
      </c>
      <c r="Q22" s="544">
        <v>114000</v>
      </c>
      <c r="R22" s="545">
        <v>114000</v>
      </c>
      <c r="S22" s="545">
        <v>114000</v>
      </c>
      <c r="T22" s="543">
        <v>117000</v>
      </c>
      <c r="U22" s="544">
        <v>120000</v>
      </c>
      <c r="V22" s="545">
        <v>120000</v>
      </c>
      <c r="W22" s="545">
        <v>120000</v>
      </c>
      <c r="X22" s="543">
        <v>124000</v>
      </c>
      <c r="Y22" s="888">
        <v>121000</v>
      </c>
      <c r="Z22" s="545">
        <v>121000</v>
      </c>
      <c r="AA22" s="545">
        <v>121000</v>
      </c>
      <c r="AB22" s="543">
        <v>126000</v>
      </c>
    </row>
    <row r="23" spans="1:29" ht="15.75" hidden="1" thickBot="1">
      <c r="A23" s="540"/>
      <c r="B23" s="549" t="s">
        <v>1192</v>
      </c>
      <c r="C23" s="542">
        <f>78000/3</f>
        <v>26000</v>
      </c>
      <c r="D23" s="543">
        <v>50000</v>
      </c>
      <c r="E23" s="544">
        <v>42000</v>
      </c>
      <c r="F23" s="545">
        <v>40000</v>
      </c>
      <c r="G23" s="545">
        <v>38000</v>
      </c>
      <c r="H23" s="839">
        <v>38000</v>
      </c>
      <c r="I23" s="544">
        <v>38000</v>
      </c>
      <c r="J23" s="545">
        <v>40000</v>
      </c>
      <c r="K23" s="545">
        <v>38000</v>
      </c>
      <c r="L23" s="543">
        <v>38000</v>
      </c>
      <c r="M23" s="888">
        <v>38000</v>
      </c>
      <c r="N23" s="545">
        <v>38000</v>
      </c>
      <c r="O23" s="545">
        <v>38000</v>
      </c>
      <c r="P23" s="543">
        <v>38000</v>
      </c>
      <c r="Q23" s="544">
        <v>40000</v>
      </c>
      <c r="R23" s="545">
        <v>40000</v>
      </c>
      <c r="S23" s="545">
        <v>40000</v>
      </c>
      <c r="T23" s="543">
        <v>40000</v>
      </c>
      <c r="U23" s="544">
        <v>40000</v>
      </c>
      <c r="V23" s="545">
        <v>40000</v>
      </c>
      <c r="W23" s="545">
        <v>40000</v>
      </c>
      <c r="X23" s="543">
        <v>40000</v>
      </c>
      <c r="Y23" s="888">
        <v>40000</v>
      </c>
      <c r="Z23" s="545">
        <v>38000</v>
      </c>
      <c r="AA23" s="545">
        <v>37000</v>
      </c>
      <c r="AB23" s="543">
        <v>40000</v>
      </c>
    </row>
    <row r="24" spans="1:29" ht="26.25" hidden="1" thickBot="1">
      <c r="A24" s="523" t="s">
        <v>1193</v>
      </c>
      <c r="B24" s="550" t="s">
        <v>1194</v>
      </c>
      <c r="C24" s="551">
        <f>C25+C26</f>
        <v>90000</v>
      </c>
      <c r="D24" s="552">
        <f t="shared" ref="D24:AB24" si="5">D25+D26</f>
        <v>575400</v>
      </c>
      <c r="E24" s="551">
        <f t="shared" si="5"/>
        <v>73486</v>
      </c>
      <c r="F24" s="553">
        <f t="shared" si="5"/>
        <v>56486</v>
      </c>
      <c r="G24" s="553">
        <f t="shared" si="5"/>
        <v>56486</v>
      </c>
      <c r="H24" s="872">
        <f t="shared" si="5"/>
        <v>15000</v>
      </c>
      <c r="I24" s="551">
        <f t="shared" si="5"/>
        <v>32000</v>
      </c>
      <c r="J24" s="553">
        <f t="shared" si="5"/>
        <v>30000</v>
      </c>
      <c r="K24" s="553">
        <f t="shared" si="5"/>
        <v>32000</v>
      </c>
      <c r="L24" s="552">
        <f t="shared" si="5"/>
        <v>15000</v>
      </c>
      <c r="M24" s="889">
        <f t="shared" si="5"/>
        <v>30000</v>
      </c>
      <c r="N24" s="553">
        <f t="shared" si="5"/>
        <v>0</v>
      </c>
      <c r="O24" s="553">
        <f t="shared" si="5"/>
        <v>0</v>
      </c>
      <c r="P24" s="552">
        <f t="shared" si="5"/>
        <v>25000</v>
      </c>
      <c r="Q24" s="551">
        <f t="shared" si="5"/>
        <v>35000</v>
      </c>
      <c r="R24" s="553">
        <f t="shared" si="5"/>
        <v>35000</v>
      </c>
      <c r="S24" s="553">
        <f t="shared" si="5"/>
        <v>40000</v>
      </c>
      <c r="T24" s="552">
        <f t="shared" si="5"/>
        <v>20000</v>
      </c>
      <c r="U24" s="551">
        <f t="shared" si="5"/>
        <v>35000</v>
      </c>
      <c r="V24" s="553">
        <f t="shared" si="5"/>
        <v>35000</v>
      </c>
      <c r="W24" s="553">
        <f t="shared" si="5"/>
        <v>30000</v>
      </c>
      <c r="X24" s="552">
        <f t="shared" si="5"/>
        <v>20000</v>
      </c>
      <c r="Y24" s="889">
        <f t="shared" si="5"/>
        <v>20000</v>
      </c>
      <c r="Z24" s="553">
        <f t="shared" si="5"/>
        <v>10000</v>
      </c>
      <c r="AA24" s="553">
        <f t="shared" si="5"/>
        <v>10000</v>
      </c>
      <c r="AB24" s="552">
        <f t="shared" si="5"/>
        <v>50000</v>
      </c>
    </row>
    <row r="25" spans="1:29" ht="26.25" hidden="1" thickBot="1">
      <c r="A25" s="856"/>
      <c r="B25" s="541" t="s">
        <v>1195</v>
      </c>
      <c r="C25" s="542">
        <f>80000</f>
        <v>80000</v>
      </c>
      <c r="D25" s="554">
        <f>(635400-80000)</f>
        <v>555400</v>
      </c>
      <c r="E25" s="544">
        <f>124458/3</f>
        <v>41486</v>
      </c>
      <c r="F25" s="545">
        <f>E25</f>
        <v>41486</v>
      </c>
      <c r="G25" s="545">
        <f>F25</f>
        <v>41486</v>
      </c>
      <c r="H25" s="839"/>
      <c r="I25" s="544"/>
      <c r="J25" s="545"/>
      <c r="K25" s="545"/>
      <c r="L25" s="543"/>
      <c r="M25" s="888"/>
      <c r="N25" s="545"/>
      <c r="O25" s="545"/>
      <c r="P25" s="543"/>
      <c r="Q25" s="544"/>
      <c r="R25" s="545"/>
      <c r="S25" s="545"/>
      <c r="T25" s="543"/>
      <c r="U25" s="544"/>
      <c r="V25" s="545"/>
      <c r="W25" s="545"/>
      <c r="X25" s="543"/>
      <c r="Y25" s="888"/>
      <c r="Z25" s="545"/>
      <c r="AA25" s="545"/>
      <c r="AB25" s="543"/>
    </row>
    <row r="26" spans="1:29" ht="15.75" hidden="1" thickBot="1">
      <c r="A26" s="540"/>
      <c r="B26" s="541" t="s">
        <v>1196</v>
      </c>
      <c r="C26" s="544">
        <v>10000</v>
      </c>
      <c r="D26" s="543">
        <v>20000</v>
      </c>
      <c r="E26" s="544">
        <v>32000</v>
      </c>
      <c r="F26" s="545">
        <v>15000</v>
      </c>
      <c r="G26" s="545">
        <v>15000</v>
      </c>
      <c r="H26" s="839">
        <v>15000</v>
      </c>
      <c r="I26" s="544">
        <v>32000</v>
      </c>
      <c r="J26" s="545">
        <v>30000</v>
      </c>
      <c r="K26" s="545">
        <v>32000</v>
      </c>
      <c r="L26" s="543">
        <v>15000</v>
      </c>
      <c r="M26" s="888">
        <v>30000</v>
      </c>
      <c r="N26" s="545"/>
      <c r="O26" s="545"/>
      <c r="P26" s="543">
        <v>25000</v>
      </c>
      <c r="Q26" s="544">
        <v>35000</v>
      </c>
      <c r="R26" s="545">
        <v>35000</v>
      </c>
      <c r="S26" s="545">
        <v>40000</v>
      </c>
      <c r="T26" s="543">
        <v>20000</v>
      </c>
      <c r="U26" s="544">
        <v>35000</v>
      </c>
      <c r="V26" s="545">
        <v>35000</v>
      </c>
      <c r="W26" s="545">
        <v>30000</v>
      </c>
      <c r="X26" s="543">
        <v>20000</v>
      </c>
      <c r="Y26" s="888">
        <v>20000</v>
      </c>
      <c r="Z26" s="545">
        <v>10000</v>
      </c>
      <c r="AA26" s="545">
        <v>10000</v>
      </c>
      <c r="AB26" s="543">
        <v>50000</v>
      </c>
    </row>
    <row r="27" spans="1:29" ht="26.25" hidden="1" thickBot="1">
      <c r="A27" s="523" t="s">
        <v>1197</v>
      </c>
      <c r="B27" s="550" t="s">
        <v>1198</v>
      </c>
      <c r="C27" s="555">
        <f t="shared" ref="C27:AB27" si="6">C28+C29+C30+C31+C32+C34+C36+C37</f>
        <v>450861.07452054799</v>
      </c>
      <c r="D27" s="556">
        <f t="shared" si="6"/>
        <v>11973.989041095892</v>
      </c>
      <c r="E27" s="555">
        <f t="shared" si="6"/>
        <v>22405.082191780821</v>
      </c>
      <c r="F27" s="557">
        <f t="shared" si="6"/>
        <v>22894.949315068494</v>
      </c>
      <c r="G27" s="557">
        <f t="shared" si="6"/>
        <v>23195.194520547946</v>
      </c>
      <c r="H27" s="873">
        <f t="shared" si="6"/>
        <v>33244.65788307508</v>
      </c>
      <c r="I27" s="555">
        <f t="shared" si="6"/>
        <v>33244.65788307508</v>
      </c>
      <c r="J27" s="557">
        <f t="shared" si="6"/>
        <v>66744.214863387984</v>
      </c>
      <c r="K27" s="557">
        <f t="shared" si="6"/>
        <v>33228.874316939895</v>
      </c>
      <c r="L27" s="556">
        <f t="shared" si="6"/>
        <v>32775.912568306012</v>
      </c>
      <c r="M27" s="890">
        <f t="shared" si="6"/>
        <v>32093.321356388951</v>
      </c>
      <c r="N27" s="557">
        <f t="shared" si="6"/>
        <v>31782.926027397261</v>
      </c>
      <c r="O27" s="557">
        <f t="shared" si="6"/>
        <v>31445.019178082192</v>
      </c>
      <c r="P27" s="556">
        <f t="shared" si="6"/>
        <v>30990.816438356167</v>
      </c>
      <c r="Q27" s="555">
        <f t="shared" si="6"/>
        <v>30333.643835616436</v>
      </c>
      <c r="R27" s="557">
        <f t="shared" si="6"/>
        <v>29985.863013698632</v>
      </c>
      <c r="S27" s="557">
        <f t="shared" si="6"/>
        <v>29628.208219178083</v>
      </c>
      <c r="T27" s="556">
        <f t="shared" si="6"/>
        <v>28462.706849315069</v>
      </c>
      <c r="U27" s="555">
        <f t="shared" si="6"/>
        <v>26460.438356164384</v>
      </c>
      <c r="V27" s="557">
        <f t="shared" si="6"/>
        <v>26069.621917808217</v>
      </c>
      <c r="W27" s="557">
        <f t="shared" si="6"/>
        <v>25668.931506849316</v>
      </c>
      <c r="X27" s="556">
        <f t="shared" si="6"/>
        <v>25214.728767123288</v>
      </c>
      <c r="Y27" s="890">
        <f t="shared" si="6"/>
        <v>24760.52602739726</v>
      </c>
      <c r="Z27" s="557">
        <f t="shared" si="6"/>
        <v>23472.463934426229</v>
      </c>
      <c r="AA27" s="557">
        <f t="shared" si="6"/>
        <v>11436.699453551913</v>
      </c>
      <c r="AB27" s="556">
        <f t="shared" si="6"/>
        <v>0</v>
      </c>
    </row>
    <row r="28" spans="1:29" ht="24.75" hidden="1" thickBot="1">
      <c r="A28" s="856"/>
      <c r="B28" s="558" t="s">
        <v>1199</v>
      </c>
      <c r="C28" s="544">
        <v>74735.28</v>
      </c>
      <c r="D28" s="543"/>
      <c r="E28" s="544"/>
      <c r="F28" s="545"/>
      <c r="G28" s="545"/>
      <c r="H28" s="839"/>
      <c r="I28" s="544"/>
      <c r="J28" s="545"/>
      <c r="K28" s="545"/>
      <c r="L28" s="543"/>
      <c r="M28" s="888"/>
      <c r="N28" s="545"/>
      <c r="O28" s="545"/>
      <c r="P28" s="543"/>
      <c r="Q28" s="544"/>
      <c r="R28" s="545"/>
      <c r="S28" s="545"/>
      <c r="T28" s="543"/>
      <c r="U28" s="544"/>
      <c r="V28" s="545"/>
      <c r="W28" s="545"/>
      <c r="X28" s="543"/>
      <c r="Y28" s="888"/>
      <c r="Z28" s="545"/>
      <c r="AA28" s="545"/>
      <c r="AB28" s="543"/>
    </row>
    <row r="29" spans="1:29" ht="26.25" hidden="1" thickBot="1">
      <c r="A29" s="856"/>
      <c r="B29" s="559" t="s">
        <v>1200</v>
      </c>
      <c r="C29" s="544">
        <v>79000</v>
      </c>
      <c r="D29" s="543"/>
      <c r="E29" s="544"/>
      <c r="F29" s="545"/>
      <c r="G29" s="545"/>
      <c r="H29" s="839"/>
      <c r="I29" s="544"/>
      <c r="J29" s="545"/>
      <c r="K29" s="545"/>
      <c r="L29" s="543"/>
      <c r="M29" s="888"/>
      <c r="N29" s="545"/>
      <c r="O29" s="545"/>
      <c r="P29" s="543"/>
      <c r="Q29" s="544"/>
      <c r="R29" s="545"/>
      <c r="S29" s="545"/>
      <c r="T29" s="543"/>
      <c r="U29" s="544"/>
      <c r="V29" s="545"/>
      <c r="W29" s="545"/>
      <c r="X29" s="543"/>
      <c r="Y29" s="888"/>
      <c r="Z29" s="545"/>
      <c r="AA29" s="545"/>
      <c r="AB29" s="543"/>
    </row>
    <row r="30" spans="1:29" ht="26.25" hidden="1" thickBot="1">
      <c r="A30" s="856"/>
      <c r="B30" s="559" t="s">
        <v>1201</v>
      </c>
      <c r="C30" s="544">
        <v>90000</v>
      </c>
      <c r="D30" s="543"/>
      <c r="E30" s="544"/>
      <c r="F30" s="545"/>
      <c r="G30" s="545"/>
      <c r="H30" s="839"/>
      <c r="I30" s="544"/>
      <c r="J30" s="545"/>
      <c r="K30" s="545"/>
      <c r="L30" s="543"/>
      <c r="M30" s="888"/>
      <c r="N30" s="545"/>
      <c r="O30" s="545"/>
      <c r="P30" s="543"/>
      <c r="Q30" s="544"/>
      <c r="R30" s="545"/>
      <c r="S30" s="545"/>
      <c r="T30" s="543"/>
      <c r="U30" s="544"/>
      <c r="V30" s="545"/>
      <c r="W30" s="545"/>
      <c r="X30" s="543"/>
      <c r="Y30" s="888"/>
      <c r="Z30" s="545"/>
      <c r="AA30" s="545"/>
      <c r="AB30" s="543"/>
    </row>
    <row r="31" spans="1:29" ht="26.25" hidden="1" thickBot="1">
      <c r="A31" s="856"/>
      <c r="B31" s="559" t="s">
        <v>1202</v>
      </c>
      <c r="C31" s="544">
        <v>198950</v>
      </c>
      <c r="D31" s="543"/>
      <c r="E31" s="544"/>
      <c r="F31" s="545"/>
      <c r="G31" s="545"/>
      <c r="H31" s="839"/>
      <c r="I31" s="544"/>
      <c r="J31" s="545"/>
      <c r="K31" s="545"/>
      <c r="L31" s="543"/>
      <c r="M31" s="888"/>
      <c r="N31" s="545"/>
      <c r="O31" s="545"/>
      <c r="P31" s="543"/>
      <c r="Q31" s="544"/>
      <c r="R31" s="545"/>
      <c r="S31" s="545"/>
      <c r="T31" s="543"/>
      <c r="U31" s="544"/>
      <c r="V31" s="545"/>
      <c r="W31" s="545"/>
      <c r="X31" s="543"/>
      <c r="Y31" s="908"/>
      <c r="Z31" s="909"/>
      <c r="AA31" s="909"/>
      <c r="AB31" s="910"/>
    </row>
    <row r="32" spans="1:29" ht="26.25" hidden="1" thickBot="1">
      <c r="A32" s="856"/>
      <c r="B32" s="840" t="s">
        <v>1372</v>
      </c>
      <c r="C32" s="841"/>
      <c r="D32" s="842"/>
      <c r="E32" s="841"/>
      <c r="F32" s="843"/>
      <c r="G32" s="843"/>
      <c r="H32" s="874"/>
      <c r="I32" s="841"/>
      <c r="J32" s="843"/>
      <c r="K32" s="843"/>
      <c r="L32" s="842"/>
      <c r="M32" s="953"/>
      <c r="N32" s="954"/>
      <c r="O32" s="954"/>
      <c r="P32" s="955"/>
      <c r="Q32" s="957"/>
      <c r="R32" s="954"/>
      <c r="S32" s="954"/>
      <c r="T32" s="955"/>
      <c r="U32" s="957"/>
      <c r="V32" s="954"/>
      <c r="W32" s="954"/>
      <c r="X32" s="910"/>
      <c r="Y32" s="933"/>
      <c r="Z32" s="934"/>
      <c r="AA32" s="934"/>
      <c r="AB32" s="935"/>
      <c r="AC32" s="580">
        <f>SUM(T32:V32)</f>
        <v>0</v>
      </c>
    </row>
    <row r="33" spans="1:28" ht="25.5">
      <c r="A33" s="856"/>
      <c r="B33" s="559" t="s">
        <v>1203</v>
      </c>
      <c r="C33" s="544"/>
      <c r="D33" s="543"/>
      <c r="E33" s="544"/>
      <c r="F33" s="545"/>
      <c r="G33" s="545"/>
      <c r="H33" s="839"/>
      <c r="I33" s="544"/>
      <c r="J33" s="545"/>
      <c r="K33" s="545"/>
      <c r="L33" s="543"/>
      <c r="M33" s="911"/>
      <c r="N33" s="912"/>
      <c r="O33" s="912"/>
      <c r="P33" s="913"/>
      <c r="Q33" s="911"/>
      <c r="R33" s="912"/>
      <c r="S33" s="912"/>
      <c r="T33" s="958"/>
      <c r="U33" s="911"/>
      <c r="V33" s="912"/>
      <c r="W33" s="912"/>
      <c r="X33" s="958"/>
      <c r="Y33" s="911"/>
      <c r="Z33" s="912">
        <f>36600</f>
        <v>36600</v>
      </c>
      <c r="AA33" s="912">
        <f>110000-Z33</f>
        <v>73400</v>
      </c>
      <c r="AB33" s="913"/>
    </row>
    <row r="34" spans="1:28" ht="25.5">
      <c r="A34" s="856"/>
      <c r="B34" s="559" t="s">
        <v>1378</v>
      </c>
      <c r="C34" s="544"/>
      <c r="D34" s="543"/>
      <c r="E34" s="544">
        <v>10000</v>
      </c>
      <c r="F34" s="545">
        <v>10000</v>
      </c>
      <c r="G34" s="545">
        <v>10000</v>
      </c>
      <c r="H34" s="839">
        <v>21200</v>
      </c>
      <c r="I34" s="544">
        <v>21200</v>
      </c>
      <c r="J34" s="545">
        <v>21200</v>
      </c>
      <c r="K34" s="545">
        <v>21200</v>
      </c>
      <c r="L34" s="543">
        <v>21200</v>
      </c>
      <c r="M34" s="544">
        <v>21200</v>
      </c>
      <c r="N34" s="545">
        <v>21200</v>
      </c>
      <c r="O34" s="545">
        <v>21200</v>
      </c>
      <c r="P34" s="543">
        <v>21200</v>
      </c>
      <c r="Q34" s="544">
        <v>21200</v>
      </c>
      <c r="R34" s="545">
        <v>21200</v>
      </c>
      <c r="S34" s="545">
        <v>21200</v>
      </c>
      <c r="T34" s="839">
        <v>21200</v>
      </c>
      <c r="U34" s="544">
        <v>21200</v>
      </c>
      <c r="V34" s="545">
        <v>21200</v>
      </c>
      <c r="W34" s="545">
        <v>21200</v>
      </c>
      <c r="X34" s="839">
        <v>21200</v>
      </c>
      <c r="Y34" s="544">
        <v>21200</v>
      </c>
      <c r="Z34" s="545">
        <v>21200</v>
      </c>
      <c r="AA34" s="545">
        <v>11200</v>
      </c>
      <c r="AB34" s="543"/>
    </row>
    <row r="35" spans="1:28" ht="25.5">
      <c r="A35" s="856"/>
      <c r="B35" s="840" t="s">
        <v>1372</v>
      </c>
      <c r="C35" s="841"/>
      <c r="D35" s="842"/>
      <c r="E35" s="841"/>
      <c r="F35" s="843"/>
      <c r="G35" s="843"/>
      <c r="H35" s="874"/>
      <c r="I35" s="841"/>
      <c r="J35" s="843"/>
      <c r="K35" s="843"/>
      <c r="L35" s="842"/>
      <c r="M35" s="841"/>
      <c r="N35" s="843"/>
      <c r="O35" s="843"/>
      <c r="P35" s="842"/>
      <c r="Q35" s="841"/>
      <c r="R35" s="843"/>
      <c r="S35" s="843"/>
      <c r="T35" s="874">
        <f>33200</f>
        <v>33200</v>
      </c>
      <c r="U35" s="841">
        <f>100000-33200</f>
        <v>66800</v>
      </c>
      <c r="V35" s="843"/>
      <c r="W35" s="843"/>
      <c r="X35" s="839"/>
      <c r="Y35" s="544"/>
      <c r="Z35" s="545"/>
      <c r="AA35" s="545"/>
      <c r="AB35" s="543"/>
    </row>
    <row r="36" spans="1:28" ht="25.5">
      <c r="A36" s="856"/>
      <c r="B36" s="559" t="s">
        <v>1204</v>
      </c>
      <c r="C36" s="544"/>
      <c r="D36" s="543"/>
      <c r="E36" s="544"/>
      <c r="F36" s="545"/>
      <c r="G36" s="545"/>
      <c r="H36" s="839"/>
      <c r="I36" s="544"/>
      <c r="J36" s="545">
        <v>32432</v>
      </c>
      <c r="K36" s="545"/>
      <c r="L36" s="543"/>
      <c r="M36" s="544"/>
      <c r="N36" s="545"/>
      <c r="O36" s="545"/>
      <c r="P36" s="543"/>
      <c r="Q36" s="544"/>
      <c r="R36" s="545"/>
      <c r="S36" s="545"/>
      <c r="T36" s="839"/>
      <c r="U36" s="544"/>
      <c r="V36" s="545"/>
      <c r="W36" s="545"/>
      <c r="X36" s="839"/>
      <c r="Y36" s="544"/>
      <c r="Z36" s="545"/>
      <c r="AA36" s="545"/>
      <c r="AB36" s="543"/>
    </row>
    <row r="37" spans="1:28">
      <c r="A37" s="856"/>
      <c r="B37" s="524" t="s">
        <v>1205</v>
      </c>
      <c r="C37" s="551">
        <f>C38+C39+C41+C40</f>
        <v>8175.7945205479455</v>
      </c>
      <c r="D37" s="552">
        <f t="shared" ref="D37:AB37" si="7">D38+D39+D41+D40</f>
        <v>11973.989041095892</v>
      </c>
      <c r="E37" s="551">
        <f t="shared" si="7"/>
        <v>12405.082191780821</v>
      </c>
      <c r="F37" s="553">
        <f t="shared" si="7"/>
        <v>12894.949315068492</v>
      </c>
      <c r="G37" s="553">
        <f t="shared" si="7"/>
        <v>13195.194520547946</v>
      </c>
      <c r="H37" s="872">
        <f t="shared" si="7"/>
        <v>12044.65788307508</v>
      </c>
      <c r="I37" s="551">
        <f t="shared" si="7"/>
        <v>12044.65788307508</v>
      </c>
      <c r="J37" s="553">
        <f t="shared" si="7"/>
        <v>13112.214863387981</v>
      </c>
      <c r="K37" s="553">
        <f t="shared" si="7"/>
        <v>12028.874316939891</v>
      </c>
      <c r="L37" s="552">
        <f t="shared" si="7"/>
        <v>11575.912568306012</v>
      </c>
      <c r="M37" s="551">
        <f t="shared" si="7"/>
        <v>10893.321356388953</v>
      </c>
      <c r="N37" s="553">
        <f t="shared" si="7"/>
        <v>10582.92602739726</v>
      </c>
      <c r="O37" s="553">
        <f t="shared" si="7"/>
        <v>10245.019178082192</v>
      </c>
      <c r="P37" s="552">
        <f t="shared" si="7"/>
        <v>9790.8164383561652</v>
      </c>
      <c r="Q37" s="551">
        <f t="shared" si="7"/>
        <v>9133.6438356164381</v>
      </c>
      <c r="R37" s="553">
        <f t="shared" si="7"/>
        <v>8785.8630136986303</v>
      </c>
      <c r="S37" s="553">
        <f t="shared" si="7"/>
        <v>8428.2082191780828</v>
      </c>
      <c r="T37" s="872">
        <f t="shared" si="7"/>
        <v>7262.7068493150691</v>
      </c>
      <c r="U37" s="551">
        <f t="shared" si="7"/>
        <v>5260.4383561643826</v>
      </c>
      <c r="V37" s="553">
        <f t="shared" si="7"/>
        <v>4869.6219178082192</v>
      </c>
      <c r="W37" s="553">
        <f t="shared" si="7"/>
        <v>4468.9315068493152</v>
      </c>
      <c r="X37" s="872">
        <f t="shared" si="7"/>
        <v>4014.728767123288</v>
      </c>
      <c r="Y37" s="551">
        <f t="shared" si="7"/>
        <v>3560.5260273972599</v>
      </c>
      <c r="Z37" s="553">
        <f t="shared" si="7"/>
        <v>2272.4639344262291</v>
      </c>
      <c r="AA37" s="553">
        <f t="shared" si="7"/>
        <v>236.6994535519126</v>
      </c>
      <c r="AB37" s="552">
        <f t="shared" si="7"/>
        <v>0</v>
      </c>
    </row>
    <row r="38" spans="1:28">
      <c r="A38" s="856"/>
      <c r="B38" s="541" t="s">
        <v>1206</v>
      </c>
      <c r="C38" s="560">
        <f t="shared" ref="C38:H38" si="8">D62</f>
        <v>0</v>
      </c>
      <c r="D38" s="561">
        <f t="shared" si="8"/>
        <v>548.21917808219177</v>
      </c>
      <c r="E38" s="560">
        <f t="shared" si="8"/>
        <v>1437.2876712328766</v>
      </c>
      <c r="F38" s="562">
        <f t="shared" si="8"/>
        <v>2017.2082191780821</v>
      </c>
      <c r="G38" s="562">
        <f t="shared" si="8"/>
        <v>2412.1643835616437</v>
      </c>
      <c r="H38" s="875">
        <f t="shared" si="8"/>
        <v>2385.9452054794519</v>
      </c>
      <c r="I38" s="560">
        <f>I62</f>
        <v>2385.9452054794519</v>
      </c>
      <c r="J38" s="562">
        <f t="shared" ref="J38:AA38" si="9">J62</f>
        <v>2379.4262295081967</v>
      </c>
      <c r="K38" s="562">
        <f t="shared" si="9"/>
        <v>2405.5737704918033</v>
      </c>
      <c r="L38" s="561">
        <f t="shared" si="9"/>
        <v>2405.5737704918033</v>
      </c>
      <c r="M38" s="560">
        <f t="shared" si="9"/>
        <v>2359.7260273972602</v>
      </c>
      <c r="N38" s="560">
        <f t="shared" si="9"/>
        <v>2385.9452054794519</v>
      </c>
      <c r="O38" s="560">
        <f t="shared" si="9"/>
        <v>2412.1643835616437</v>
      </c>
      <c r="P38" s="956">
        <f t="shared" si="9"/>
        <v>2412.1643835616437</v>
      </c>
      <c r="Q38" s="560">
        <f t="shared" si="9"/>
        <v>2359.7260273972602</v>
      </c>
      <c r="R38" s="560">
        <f t="shared" si="9"/>
        <v>2385.9452054794519</v>
      </c>
      <c r="S38" s="560">
        <f t="shared" si="9"/>
        <v>2412.1643835616437</v>
      </c>
      <c r="T38" s="959">
        <f t="shared" si="9"/>
        <v>2412.1643835616437</v>
      </c>
      <c r="U38" s="560">
        <f t="shared" si="9"/>
        <v>2359.7260273972602</v>
      </c>
      <c r="V38" s="562">
        <f t="shared" si="9"/>
        <v>2385.9452054794519</v>
      </c>
      <c r="W38" s="562">
        <f t="shared" si="9"/>
        <v>2412.1643835616437</v>
      </c>
      <c r="X38" s="875">
        <f t="shared" si="9"/>
        <v>2412.1643835616437</v>
      </c>
      <c r="Y38" s="560">
        <f t="shared" si="9"/>
        <v>2412.1643835616437</v>
      </c>
      <c r="Z38" s="562">
        <f t="shared" si="9"/>
        <v>1587.7262295081964</v>
      </c>
      <c r="AA38" s="562">
        <f t="shared" si="9"/>
        <v>0</v>
      </c>
      <c r="AB38" s="561">
        <f>AC62</f>
        <v>0</v>
      </c>
    </row>
    <row r="39" spans="1:28">
      <c r="A39" s="856"/>
      <c r="B39" s="541" t="s">
        <v>1207</v>
      </c>
      <c r="C39" s="560">
        <f t="shared" ref="C39:H39" si="10">D63</f>
        <v>3101.9178082191784</v>
      </c>
      <c r="D39" s="561">
        <f t="shared" si="10"/>
        <v>9512.5479452054806</v>
      </c>
      <c r="E39" s="560">
        <f t="shared" si="10"/>
        <v>9096.1643835616433</v>
      </c>
      <c r="F39" s="562">
        <f t="shared" si="10"/>
        <v>8985.3150684931497</v>
      </c>
      <c r="G39" s="562">
        <f t="shared" si="10"/>
        <v>8869.8082191780832</v>
      </c>
      <c r="H39" s="875">
        <f t="shared" si="10"/>
        <v>8301.3879781420765</v>
      </c>
      <c r="I39" s="560">
        <f>I63</f>
        <v>8301.3879781420765</v>
      </c>
      <c r="J39" s="562">
        <f t="shared" ref="J39:T39" si="11">J63</f>
        <v>7853.3497267759576</v>
      </c>
      <c r="K39" s="562">
        <f t="shared" si="11"/>
        <v>7486.688524590164</v>
      </c>
      <c r="L39" s="561">
        <f t="shared" si="11"/>
        <v>7033.7267759562847</v>
      </c>
      <c r="M39" s="560">
        <f t="shared" si="11"/>
        <v>6437.7049180327886</v>
      </c>
      <c r="N39" s="560">
        <f t="shared" si="11"/>
        <v>6077.8027397260275</v>
      </c>
      <c r="O39" s="560">
        <f t="shared" si="11"/>
        <v>5690.3890410958902</v>
      </c>
      <c r="P39" s="956">
        <f t="shared" si="11"/>
        <v>5236.186301369863</v>
      </c>
      <c r="Q39" s="560">
        <f>Q63</f>
        <v>4678.0273972602736</v>
      </c>
      <c r="R39" s="560">
        <f t="shared" si="11"/>
        <v>4280.7397260273974</v>
      </c>
      <c r="S39" s="560">
        <f t="shared" si="11"/>
        <v>3873.5780821917815</v>
      </c>
      <c r="T39" s="959">
        <f t="shared" si="11"/>
        <v>3419.3753424657539</v>
      </c>
      <c r="U39" s="560">
        <f t="shared" ref="U39:AA39" si="12">U63</f>
        <v>2900.7123287671229</v>
      </c>
      <c r="V39" s="562">
        <f t="shared" si="12"/>
        <v>2483.6767123287673</v>
      </c>
      <c r="W39" s="562">
        <f t="shared" si="12"/>
        <v>2056.7671232876714</v>
      </c>
      <c r="X39" s="875">
        <f t="shared" si="12"/>
        <v>1602.5643835616443</v>
      </c>
      <c r="Y39" s="560">
        <f t="shared" si="12"/>
        <v>1148.3616438356164</v>
      </c>
      <c r="Z39" s="562">
        <f t="shared" si="12"/>
        <v>684.7377049180327</v>
      </c>
      <c r="AA39" s="562">
        <f t="shared" si="12"/>
        <v>236.6994535519126</v>
      </c>
      <c r="AB39" s="561">
        <f>AC63</f>
        <v>0</v>
      </c>
    </row>
    <row r="40" spans="1:28" ht="25.5">
      <c r="A40" s="856"/>
      <c r="B40" s="541" t="s">
        <v>1208</v>
      </c>
      <c r="C40" s="560">
        <f t="shared" ref="C40:S40" si="13">D64</f>
        <v>623.8767123287671</v>
      </c>
      <c r="D40" s="561">
        <f t="shared" si="13"/>
        <v>1913.2219178082191</v>
      </c>
      <c r="E40" s="560">
        <f t="shared" si="13"/>
        <v>1871.6301369863013</v>
      </c>
      <c r="F40" s="562">
        <f t="shared" si="13"/>
        <v>1892.4260273972602</v>
      </c>
      <c r="G40" s="562">
        <f t="shared" si="13"/>
        <v>1913.2219178082191</v>
      </c>
      <c r="H40" s="875">
        <f t="shared" si="13"/>
        <v>1357.3246994535521</v>
      </c>
      <c r="I40" s="560">
        <f>I64</f>
        <v>1357.3246994535521</v>
      </c>
      <c r="J40" s="562">
        <f t="shared" ref="J40:O40" si="14">J64</f>
        <v>766.0509289617487</v>
      </c>
      <c r="K40" s="562">
        <f t="shared" si="14"/>
        <v>0</v>
      </c>
      <c r="L40" s="561">
        <f t="shared" si="14"/>
        <v>0</v>
      </c>
      <c r="M40" s="560">
        <f t="shared" si="14"/>
        <v>0</v>
      </c>
      <c r="N40" s="560">
        <f t="shared" si="14"/>
        <v>0</v>
      </c>
      <c r="O40" s="560">
        <f t="shared" si="14"/>
        <v>0</v>
      </c>
      <c r="P40" s="561">
        <f t="shared" si="13"/>
        <v>0</v>
      </c>
      <c r="Q40" s="560">
        <f t="shared" si="13"/>
        <v>0</v>
      </c>
      <c r="R40" s="562">
        <f t="shared" si="13"/>
        <v>0</v>
      </c>
      <c r="S40" s="562">
        <f t="shared" si="13"/>
        <v>0</v>
      </c>
      <c r="T40" s="875">
        <f t="shared" ref="T40:AA40" si="15">U64</f>
        <v>0</v>
      </c>
      <c r="U40" s="560">
        <f t="shared" si="15"/>
        <v>0</v>
      </c>
      <c r="V40" s="562">
        <f t="shared" si="15"/>
        <v>0</v>
      </c>
      <c r="W40" s="562">
        <f t="shared" si="15"/>
        <v>0</v>
      </c>
      <c r="X40" s="875">
        <f t="shared" si="15"/>
        <v>0</v>
      </c>
      <c r="Y40" s="560">
        <f t="shared" si="15"/>
        <v>0</v>
      </c>
      <c r="Z40" s="562">
        <f t="shared" si="15"/>
        <v>0</v>
      </c>
      <c r="AA40" s="562">
        <f t="shared" si="15"/>
        <v>0</v>
      </c>
      <c r="AB40" s="561">
        <f>AC64</f>
        <v>0</v>
      </c>
    </row>
    <row r="41" spans="1:28" ht="15.75" thickBot="1">
      <c r="A41" s="946"/>
      <c r="B41" s="947" t="s">
        <v>1379</v>
      </c>
      <c r="C41" s="948">
        <v>4450</v>
      </c>
      <c r="D41" s="941"/>
      <c r="E41" s="939"/>
      <c r="F41" s="940"/>
      <c r="G41" s="940"/>
      <c r="H41" s="949"/>
      <c r="I41" s="943">
        <f>I65</f>
        <v>0</v>
      </c>
      <c r="J41" s="951">
        <f t="shared" ref="J41:AB41" si="16">J65</f>
        <v>2113.3879781420765</v>
      </c>
      <c r="K41" s="951">
        <f t="shared" si="16"/>
        <v>2136.6120218579235</v>
      </c>
      <c r="L41" s="952">
        <f t="shared" si="16"/>
        <v>2136.6120218579235</v>
      </c>
      <c r="M41" s="943">
        <f t="shared" si="16"/>
        <v>2095.8904109589039</v>
      </c>
      <c r="N41" s="943">
        <f t="shared" si="16"/>
        <v>2119.1780821917805</v>
      </c>
      <c r="O41" s="943">
        <f t="shared" si="16"/>
        <v>2142.4657534246576</v>
      </c>
      <c r="P41" s="950">
        <f t="shared" si="16"/>
        <v>2142.4657534246576</v>
      </c>
      <c r="Q41" s="943">
        <f t="shared" si="16"/>
        <v>2095.8904109589039</v>
      </c>
      <c r="R41" s="943">
        <f t="shared" si="16"/>
        <v>2119.1780821917805</v>
      </c>
      <c r="S41" s="943">
        <f t="shared" si="16"/>
        <v>2142.4657534246576</v>
      </c>
      <c r="T41" s="960">
        <f t="shared" si="16"/>
        <v>1431.1671232876713</v>
      </c>
      <c r="U41" s="943">
        <f t="shared" si="16"/>
        <v>0</v>
      </c>
      <c r="V41" s="951">
        <f t="shared" si="16"/>
        <v>0</v>
      </c>
      <c r="W41" s="951">
        <f t="shared" si="16"/>
        <v>0</v>
      </c>
      <c r="X41" s="961">
        <f t="shared" si="16"/>
        <v>0</v>
      </c>
      <c r="Y41" s="943">
        <f t="shared" si="16"/>
        <v>0</v>
      </c>
      <c r="Z41" s="951">
        <f t="shared" si="16"/>
        <v>0</v>
      </c>
      <c r="AA41" s="951">
        <f t="shared" si="16"/>
        <v>0</v>
      </c>
      <c r="AB41" s="952">
        <f t="shared" si="16"/>
        <v>0</v>
      </c>
    </row>
    <row r="42" spans="1:28" ht="22.5" hidden="1">
      <c r="A42" s="944"/>
      <c r="B42" s="945" t="s">
        <v>1209</v>
      </c>
      <c r="C42" s="936">
        <v>271</v>
      </c>
      <c r="D42" s="938">
        <v>271</v>
      </c>
      <c r="E42" s="936"/>
      <c r="F42" s="937"/>
      <c r="G42" s="937"/>
      <c r="H42" s="942"/>
      <c r="I42" s="936"/>
      <c r="J42" s="937"/>
      <c r="K42" s="937"/>
      <c r="L42" s="942"/>
      <c r="M42" s="936"/>
      <c r="N42" s="937"/>
      <c r="O42" s="937"/>
      <c r="P42" s="942"/>
      <c r="Q42" s="936"/>
      <c r="R42" s="937"/>
      <c r="S42" s="937"/>
      <c r="T42" s="942"/>
      <c r="U42" s="936"/>
      <c r="V42" s="937"/>
      <c r="W42" s="937"/>
      <c r="X42" s="942"/>
      <c r="Y42" s="936"/>
      <c r="Z42" s="937"/>
      <c r="AA42" s="937"/>
      <c r="AB42" s="938"/>
    </row>
    <row r="43" spans="1:28" ht="23.25" hidden="1" thickBot="1">
      <c r="A43" s="563"/>
      <c r="B43" s="564" t="s">
        <v>1210</v>
      </c>
      <c r="C43" s="565">
        <v>2560</v>
      </c>
      <c r="D43" s="566">
        <v>2560</v>
      </c>
      <c r="E43" s="565"/>
      <c r="F43" s="567"/>
      <c r="G43" s="567"/>
      <c r="H43" s="876"/>
      <c r="I43" s="565"/>
      <c r="J43" s="567"/>
      <c r="K43" s="567"/>
      <c r="L43" s="876"/>
      <c r="M43" s="565"/>
      <c r="N43" s="567"/>
      <c r="O43" s="567"/>
      <c r="P43" s="876"/>
      <c r="Q43" s="903"/>
      <c r="R43" s="904"/>
      <c r="S43" s="904"/>
      <c r="T43" s="905"/>
      <c r="U43" s="903"/>
      <c r="V43" s="904"/>
      <c r="W43" s="904"/>
      <c r="X43" s="905"/>
      <c r="Y43" s="914"/>
      <c r="Z43" s="915"/>
      <c r="AA43" s="915"/>
      <c r="AB43" s="916"/>
    </row>
    <row r="44" spans="1:28" ht="15.75" hidden="1" thickBot="1">
      <c r="A44" s="568" t="s">
        <v>1211</v>
      </c>
      <c r="B44" s="569" t="s">
        <v>1212</v>
      </c>
      <c r="C44" s="570">
        <f t="shared" ref="C44:AB44" si="17">C19+C24+C27</f>
        <v>736235.40785388136</v>
      </c>
      <c r="D44" s="571">
        <f t="shared" si="17"/>
        <v>1095798.9890410958</v>
      </c>
      <c r="E44" s="570">
        <f t="shared" si="17"/>
        <v>542307.08219178079</v>
      </c>
      <c r="F44" s="572">
        <f t="shared" si="17"/>
        <v>523524.94931506849</v>
      </c>
      <c r="G44" s="572">
        <f t="shared" si="17"/>
        <v>521772.39452054794</v>
      </c>
      <c r="H44" s="877">
        <f t="shared" si="17"/>
        <v>498744.65788307507</v>
      </c>
      <c r="I44" s="570">
        <f t="shared" si="17"/>
        <v>512244.65788307507</v>
      </c>
      <c r="J44" s="572">
        <f t="shared" si="17"/>
        <v>545744.21486338798</v>
      </c>
      <c r="K44" s="572">
        <f t="shared" si="17"/>
        <v>512228.87431693991</v>
      </c>
      <c r="L44" s="877">
        <f t="shared" si="17"/>
        <v>506775.91256830603</v>
      </c>
      <c r="M44" s="897">
        <f t="shared" si="17"/>
        <v>511893.32135638897</v>
      </c>
      <c r="N44" s="898">
        <f t="shared" si="17"/>
        <v>481582.92602739728</v>
      </c>
      <c r="O44" s="898">
        <f t="shared" si="17"/>
        <v>481445.01917808218</v>
      </c>
      <c r="P44" s="899">
        <f t="shared" si="17"/>
        <v>518490.81643835618</v>
      </c>
      <c r="Q44" s="900">
        <f t="shared" si="17"/>
        <v>529304.64383561641</v>
      </c>
      <c r="R44" s="901">
        <f t="shared" si="17"/>
        <v>528885.8630136986</v>
      </c>
      <c r="S44" s="901">
        <f t="shared" si="17"/>
        <v>533245.40821917809</v>
      </c>
      <c r="T44" s="902">
        <f t="shared" si="17"/>
        <v>524789.70684931509</v>
      </c>
      <c r="U44" s="906">
        <f t="shared" si="17"/>
        <v>536160.43835616438</v>
      </c>
      <c r="V44" s="901">
        <f t="shared" si="17"/>
        <v>535769.6219178082</v>
      </c>
      <c r="W44" s="901">
        <f t="shared" si="17"/>
        <v>530368.93150684936</v>
      </c>
      <c r="X44" s="907">
        <f t="shared" si="17"/>
        <v>532214.72876712331</v>
      </c>
      <c r="Y44" s="918">
        <f t="shared" si="17"/>
        <v>522060.52602739725</v>
      </c>
      <c r="Z44" s="919">
        <f t="shared" si="17"/>
        <v>508772.46393442625</v>
      </c>
      <c r="AA44" s="919">
        <f t="shared" si="17"/>
        <v>495736.6994535519</v>
      </c>
      <c r="AB44" s="920">
        <f t="shared" si="17"/>
        <v>542500</v>
      </c>
    </row>
    <row r="45" spans="1:28" ht="26.25" hidden="1" thickBot="1">
      <c r="A45" s="573" t="s">
        <v>1213</v>
      </c>
      <c r="B45" s="574" t="s">
        <v>1214</v>
      </c>
      <c r="C45" s="575">
        <f t="shared" ref="C45:AB45" si="18">C3+C17-C44</f>
        <v>582201.59214611864</v>
      </c>
      <c r="D45" s="576">
        <f t="shared" si="18"/>
        <v>2052.6031050228048</v>
      </c>
      <c r="E45" s="575">
        <f t="shared" si="18"/>
        <v>1545.5209132420132</v>
      </c>
      <c r="F45" s="577">
        <f t="shared" si="18"/>
        <v>4120.5715981735266</v>
      </c>
      <c r="G45" s="577">
        <f t="shared" si="18"/>
        <v>1448.1770776255871</v>
      </c>
      <c r="H45" s="878">
        <f t="shared" si="18"/>
        <v>4803.5191945505212</v>
      </c>
      <c r="I45" s="575">
        <f t="shared" si="18"/>
        <v>4758.8613114754553</v>
      </c>
      <c r="J45" s="577">
        <f t="shared" si="18"/>
        <v>-28785.353551912529</v>
      </c>
      <c r="K45" s="577">
        <f t="shared" si="18"/>
        <v>-28814.227868852438</v>
      </c>
      <c r="L45" s="576">
        <f t="shared" si="18"/>
        <v>-23390.140437158465</v>
      </c>
      <c r="M45" s="891">
        <f t="shared" si="18"/>
        <v>-17961.461793547438</v>
      </c>
      <c r="N45" s="892">
        <f t="shared" si="18"/>
        <v>-373988.70632073667</v>
      </c>
      <c r="O45" s="892">
        <f t="shared" si="18"/>
        <v>-338111.72549881885</v>
      </c>
      <c r="P45" s="893">
        <f t="shared" si="18"/>
        <v>-339280.54193717503</v>
      </c>
      <c r="Q45" s="575">
        <f t="shared" si="18"/>
        <v>-341041.18577279145</v>
      </c>
      <c r="R45" s="577">
        <f t="shared" si="18"/>
        <v>-342383.04878649005</v>
      </c>
      <c r="S45" s="577">
        <f t="shared" si="18"/>
        <v>-348084.45700566814</v>
      </c>
      <c r="T45" s="576">
        <f t="shared" si="18"/>
        <v>-345330.16385498323</v>
      </c>
      <c r="U45" s="575">
        <f t="shared" si="18"/>
        <v>-344090.6022111476</v>
      </c>
      <c r="V45" s="577">
        <f t="shared" si="18"/>
        <v>-342460.2241289558</v>
      </c>
      <c r="W45" s="577">
        <f t="shared" si="18"/>
        <v>-335429.15563580516</v>
      </c>
      <c r="X45" s="878">
        <f t="shared" si="18"/>
        <v>-330243.88440292847</v>
      </c>
      <c r="Y45" s="917">
        <f t="shared" si="18"/>
        <v>-309530.41043032572</v>
      </c>
      <c r="Z45" s="892">
        <f t="shared" si="18"/>
        <v>-275528.87436475197</v>
      </c>
      <c r="AA45" s="892">
        <f t="shared" si="18"/>
        <v>-228491.57381830388</v>
      </c>
      <c r="AB45" s="893">
        <f t="shared" si="18"/>
        <v>-228217.57381830388</v>
      </c>
    </row>
    <row r="46" spans="1:28">
      <c r="B46" s="578"/>
      <c r="C46" s="579"/>
      <c r="D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</row>
    <row r="47" spans="1:28" hidden="1">
      <c r="B47" s="578"/>
      <c r="C47" s="581"/>
      <c r="D47" s="580"/>
    </row>
    <row r="48" spans="1:28" hidden="1">
      <c r="B48" s="582" t="s">
        <v>1215</v>
      </c>
    </row>
    <row r="49" spans="1:29" hidden="1">
      <c r="B49" s="1"/>
    </row>
    <row r="50" spans="1:29" hidden="1">
      <c r="B50" s="1"/>
      <c r="C50" t="s">
        <v>1216</v>
      </c>
    </row>
    <row r="51" spans="1:29" hidden="1">
      <c r="B51" s="1"/>
    </row>
    <row r="52" spans="1:29" hidden="1">
      <c r="B52" s="1"/>
    </row>
    <row r="53" spans="1:29" hidden="1">
      <c r="B53" s="1"/>
    </row>
    <row r="54" spans="1:29">
      <c r="A54" s="583"/>
      <c r="B54" s="584"/>
      <c r="C54" s="585" t="s">
        <v>1217</v>
      </c>
      <c r="D54" s="583"/>
      <c r="E54" s="586">
        <v>365</v>
      </c>
      <c r="F54" s="586">
        <v>365</v>
      </c>
      <c r="G54" s="583"/>
      <c r="H54" s="583"/>
      <c r="I54" s="583"/>
      <c r="J54" s="586">
        <v>366</v>
      </c>
      <c r="K54" s="583"/>
      <c r="L54" s="583"/>
      <c r="M54" s="583"/>
      <c r="N54" s="586">
        <v>365</v>
      </c>
      <c r="O54" s="583"/>
      <c r="P54" s="583"/>
      <c r="Q54" s="583"/>
      <c r="R54" s="586">
        <v>365</v>
      </c>
      <c r="S54" s="583"/>
      <c r="T54" s="583"/>
      <c r="U54" s="583"/>
      <c r="V54" s="586">
        <v>365</v>
      </c>
      <c r="W54" s="583"/>
      <c r="X54" s="583"/>
      <c r="Y54" s="583"/>
      <c r="Z54" s="586">
        <v>366</v>
      </c>
      <c r="AA54" s="583"/>
      <c r="AB54" s="583"/>
      <c r="AC54" s="583"/>
    </row>
    <row r="55" spans="1:29">
      <c r="A55" s="583"/>
      <c r="B55" s="584" t="s">
        <v>1380</v>
      </c>
      <c r="C55" s="587" t="s">
        <v>1218</v>
      </c>
      <c r="D55" s="583">
        <v>30</v>
      </c>
      <c r="E55" s="583">
        <f>31+30+31</f>
        <v>92</v>
      </c>
      <c r="F55" s="583">
        <f>31+28+31</f>
        <v>90</v>
      </c>
      <c r="G55" s="583">
        <f>30+31+30</f>
        <v>91</v>
      </c>
      <c r="H55" s="583">
        <f>31+31+30</f>
        <v>92</v>
      </c>
      <c r="I55" s="836">
        <v>91</v>
      </c>
      <c r="J55" s="836">
        <v>91</v>
      </c>
      <c r="K55" s="836">
        <f>31+30+31</f>
        <v>92</v>
      </c>
      <c r="L55" s="836">
        <f>31+31+30</f>
        <v>92</v>
      </c>
      <c r="M55" s="837">
        <v>90</v>
      </c>
      <c r="N55" s="837">
        <v>91</v>
      </c>
      <c r="O55" s="837">
        <v>92</v>
      </c>
      <c r="P55" s="837">
        <f>31+31+30</f>
        <v>92</v>
      </c>
      <c r="Q55" s="836">
        <v>90</v>
      </c>
      <c r="R55" s="836">
        <v>91</v>
      </c>
      <c r="S55" s="836">
        <v>92</v>
      </c>
      <c r="T55" s="836">
        <f>31+31+30</f>
        <v>92</v>
      </c>
      <c r="U55" s="838">
        <v>90</v>
      </c>
      <c r="V55" s="838">
        <v>91</v>
      </c>
      <c r="W55" s="838">
        <v>92</v>
      </c>
      <c r="X55" s="838">
        <f>31+31+30</f>
        <v>92</v>
      </c>
      <c r="Y55" s="583">
        <f>31+30+31</f>
        <v>92</v>
      </c>
      <c r="Z55" s="583">
        <f>31+29+31</f>
        <v>91</v>
      </c>
      <c r="AA55" s="583">
        <f>30+31+30</f>
        <v>91</v>
      </c>
      <c r="AB55" s="583">
        <f>31+31+30</f>
        <v>92</v>
      </c>
      <c r="AC55" s="583">
        <f>31+30+31</f>
        <v>92</v>
      </c>
    </row>
    <row r="56" spans="1:29" ht="25.5" customHeight="1">
      <c r="A56" s="988" t="s">
        <v>1368</v>
      </c>
      <c r="B56" s="588">
        <v>8.6999999999999994E-2</v>
      </c>
      <c r="C56" s="589" t="s">
        <v>1219</v>
      </c>
      <c r="D56" s="204"/>
      <c r="E56" s="344">
        <f>D14</f>
        <v>25000</v>
      </c>
      <c r="F56" s="344">
        <f t="shared" ref="F56:S56" si="19">E56+E14-E32</f>
        <v>67000</v>
      </c>
      <c r="G56" s="344">
        <f t="shared" si="19"/>
        <v>93000</v>
      </c>
      <c r="H56" s="344">
        <f t="shared" si="19"/>
        <v>110000</v>
      </c>
      <c r="I56" s="344">
        <f t="shared" si="19"/>
        <v>110000</v>
      </c>
      <c r="J56" s="344">
        <f t="shared" si="19"/>
        <v>110000</v>
      </c>
      <c r="K56" s="344">
        <f t="shared" si="19"/>
        <v>110000</v>
      </c>
      <c r="L56" s="344">
        <f t="shared" si="19"/>
        <v>110000</v>
      </c>
      <c r="M56" s="344">
        <f t="shared" si="19"/>
        <v>110000</v>
      </c>
      <c r="N56" s="344">
        <f t="shared" si="19"/>
        <v>110000</v>
      </c>
      <c r="O56" s="344">
        <f t="shared" si="19"/>
        <v>110000</v>
      </c>
      <c r="P56" s="344">
        <f t="shared" si="19"/>
        <v>110000</v>
      </c>
      <c r="Q56" s="344">
        <f t="shared" si="19"/>
        <v>110000</v>
      </c>
      <c r="R56" s="344">
        <f t="shared" si="19"/>
        <v>110000</v>
      </c>
      <c r="S56" s="344">
        <f t="shared" si="19"/>
        <v>110000</v>
      </c>
      <c r="T56" s="344">
        <f>S56-T33</f>
        <v>110000</v>
      </c>
      <c r="U56" s="344">
        <f>T56+T14-T32</f>
        <v>110000</v>
      </c>
      <c r="V56" s="344">
        <f>U56+U14-U32</f>
        <v>110000</v>
      </c>
      <c r="W56" s="344">
        <f>V56+V14-V32</f>
        <v>110000</v>
      </c>
      <c r="X56" s="344">
        <f>W56+W14-W32</f>
        <v>110000</v>
      </c>
      <c r="Y56" s="344">
        <f>X56+X14-X32</f>
        <v>110000</v>
      </c>
      <c r="Z56" s="344">
        <f>Y56-Z33</f>
        <v>73400</v>
      </c>
      <c r="AA56" s="344">
        <f>Z56-AA33</f>
        <v>0</v>
      </c>
      <c r="AB56" s="344">
        <f>AA56+AA14-AA32</f>
        <v>0</v>
      </c>
      <c r="AC56" s="344">
        <f>AB56+AB14-AB32</f>
        <v>0</v>
      </c>
    </row>
    <row r="57" spans="1:29" ht="18.75" customHeight="1">
      <c r="A57" s="988" t="s">
        <v>1369</v>
      </c>
      <c r="B57" s="588">
        <v>8.5000000000000006E-2</v>
      </c>
      <c r="C57" s="589" t="s">
        <v>1220</v>
      </c>
      <c r="D57" s="344">
        <f>C15</f>
        <v>444000</v>
      </c>
      <c r="E57" s="344">
        <f t="shared" ref="E57:AC57" si="20">D57-D34</f>
        <v>444000</v>
      </c>
      <c r="F57" s="344">
        <f t="shared" si="20"/>
        <v>434000</v>
      </c>
      <c r="G57" s="344">
        <f t="shared" si="20"/>
        <v>424000</v>
      </c>
      <c r="H57" s="344">
        <f t="shared" si="20"/>
        <v>414000</v>
      </c>
      <c r="I57" s="344">
        <f t="shared" si="20"/>
        <v>392800</v>
      </c>
      <c r="J57" s="344">
        <f t="shared" si="20"/>
        <v>371600</v>
      </c>
      <c r="K57" s="344">
        <f t="shared" si="20"/>
        <v>350400</v>
      </c>
      <c r="L57" s="344">
        <f t="shared" si="20"/>
        <v>329200</v>
      </c>
      <c r="M57" s="344">
        <f t="shared" si="20"/>
        <v>308000</v>
      </c>
      <c r="N57" s="344">
        <f t="shared" si="20"/>
        <v>286800</v>
      </c>
      <c r="O57" s="344">
        <f t="shared" si="20"/>
        <v>265600</v>
      </c>
      <c r="P57" s="344">
        <f t="shared" si="20"/>
        <v>244400</v>
      </c>
      <c r="Q57" s="344">
        <f t="shared" si="20"/>
        <v>223200</v>
      </c>
      <c r="R57" s="344">
        <f t="shared" si="20"/>
        <v>202000</v>
      </c>
      <c r="S57" s="344">
        <f t="shared" si="20"/>
        <v>180800</v>
      </c>
      <c r="T57" s="344">
        <f t="shared" si="20"/>
        <v>159600</v>
      </c>
      <c r="U57" s="344">
        <f t="shared" si="20"/>
        <v>138400</v>
      </c>
      <c r="V57" s="344">
        <f t="shared" si="20"/>
        <v>117200</v>
      </c>
      <c r="W57" s="344">
        <f t="shared" si="20"/>
        <v>96000</v>
      </c>
      <c r="X57" s="344">
        <f t="shared" si="20"/>
        <v>74800</v>
      </c>
      <c r="Y57" s="344">
        <f t="shared" si="20"/>
        <v>53600</v>
      </c>
      <c r="Z57" s="344">
        <f t="shared" si="20"/>
        <v>32400</v>
      </c>
      <c r="AA57" s="344">
        <f t="shared" si="20"/>
        <v>11200</v>
      </c>
      <c r="AB57" s="344">
        <f t="shared" si="20"/>
        <v>0</v>
      </c>
      <c r="AC57" s="344">
        <f t="shared" si="20"/>
        <v>0</v>
      </c>
    </row>
    <row r="58" spans="1:29" ht="15" customHeight="1">
      <c r="A58" s="988" t="s">
        <v>1370</v>
      </c>
      <c r="B58" s="588">
        <v>9.5000000000000001E-2</v>
      </c>
      <c r="C58" s="589" t="s">
        <v>1221</v>
      </c>
      <c r="D58" s="344">
        <f>C16</f>
        <v>79900</v>
      </c>
      <c r="E58" s="344">
        <f>D58-D36</f>
        <v>79900</v>
      </c>
      <c r="F58" s="344">
        <f>E58-E36</f>
        <v>79900</v>
      </c>
      <c r="G58" s="344">
        <f>F58-F36</f>
        <v>79900</v>
      </c>
      <c r="H58" s="344">
        <f>G58-G36</f>
        <v>79900</v>
      </c>
      <c r="I58" s="344">
        <f>(79900*31+79900*15+32432*15+34432*31)/91</f>
        <v>57464.527472527472</v>
      </c>
      <c r="J58" s="344">
        <v>32432</v>
      </c>
      <c r="K58" s="344">
        <v>0</v>
      </c>
      <c r="L58" s="344">
        <f>K58</f>
        <v>0</v>
      </c>
      <c r="M58" s="344">
        <f>L58</f>
        <v>0</v>
      </c>
      <c r="N58" s="344">
        <f>M58</f>
        <v>0</v>
      </c>
      <c r="O58" s="344">
        <v>0</v>
      </c>
      <c r="P58" s="344">
        <v>0</v>
      </c>
      <c r="Q58" s="344">
        <v>0</v>
      </c>
      <c r="R58" s="344">
        <v>0</v>
      </c>
      <c r="S58" s="344">
        <v>0</v>
      </c>
      <c r="T58" s="344">
        <v>0</v>
      </c>
      <c r="U58" s="344">
        <v>0</v>
      </c>
      <c r="V58" s="344">
        <v>0</v>
      </c>
      <c r="W58" s="344">
        <v>0</v>
      </c>
      <c r="X58" s="344">
        <v>0</v>
      </c>
      <c r="Y58" s="344">
        <v>0</v>
      </c>
      <c r="Z58" s="344">
        <v>0</v>
      </c>
      <c r="AA58" s="344">
        <v>0</v>
      </c>
      <c r="AB58" s="344">
        <v>0</v>
      </c>
      <c r="AC58" s="344">
        <f>AB58-AB36</f>
        <v>0</v>
      </c>
    </row>
    <row r="59" spans="1:29" ht="15.75" customHeight="1">
      <c r="A59" s="988" t="s">
        <v>1371</v>
      </c>
      <c r="B59" s="588">
        <v>8.5000000000000006E-2</v>
      </c>
      <c r="C59" s="589"/>
      <c r="D59" s="344"/>
      <c r="E59" s="344"/>
      <c r="F59" s="344"/>
      <c r="G59" s="344"/>
      <c r="H59" s="344"/>
      <c r="I59" s="344"/>
      <c r="J59" s="344">
        <v>100000</v>
      </c>
      <c r="K59" s="344">
        <v>100000</v>
      </c>
      <c r="L59" s="344">
        <v>100000</v>
      </c>
      <c r="M59" s="344">
        <v>100000</v>
      </c>
      <c r="N59" s="344">
        <v>100000</v>
      </c>
      <c r="O59" s="344">
        <v>100000</v>
      </c>
      <c r="P59" s="344">
        <v>100000</v>
      </c>
      <c r="Q59" s="344">
        <v>100000</v>
      </c>
      <c r="R59" s="344">
        <f>Q59-R32</f>
        <v>100000</v>
      </c>
      <c r="S59" s="344">
        <f>R59-S32</f>
        <v>100000</v>
      </c>
      <c r="T59" s="344">
        <f>S59-T35</f>
        <v>66800</v>
      </c>
      <c r="U59" s="344">
        <f>T59-U35</f>
        <v>0</v>
      </c>
      <c r="V59" s="344">
        <f t="shared" ref="V59:AB59" si="21">U59-V32</f>
        <v>0</v>
      </c>
      <c r="W59" s="344">
        <f t="shared" si="21"/>
        <v>0</v>
      </c>
      <c r="X59" s="344">
        <f t="shared" si="21"/>
        <v>0</v>
      </c>
      <c r="Y59" s="344">
        <f t="shared" si="21"/>
        <v>0</v>
      </c>
      <c r="Z59" s="344">
        <f t="shared" si="21"/>
        <v>0</v>
      </c>
      <c r="AA59" s="344">
        <f t="shared" si="21"/>
        <v>0</v>
      </c>
      <c r="AB59" s="344">
        <f t="shared" si="21"/>
        <v>0</v>
      </c>
      <c r="AC59" s="344"/>
    </row>
    <row r="60" spans="1:29" ht="20.25" customHeight="1">
      <c r="A60" s="989"/>
      <c r="B60" s="833"/>
      <c r="C60" s="834"/>
      <c r="D60" s="835"/>
      <c r="E60" s="835"/>
      <c r="F60" s="835"/>
      <c r="G60" s="83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</row>
    <row r="61" spans="1:29" hidden="1">
      <c r="A61" s="989"/>
      <c r="B61" s="584" t="s">
        <v>1381</v>
      </c>
      <c r="C61" t="s">
        <v>1222</v>
      </c>
    </row>
    <row r="62" spans="1:29" ht="23.25" customHeight="1">
      <c r="A62" s="988" t="s">
        <v>1368</v>
      </c>
      <c r="B62" s="313"/>
      <c r="C62" s="589" t="s">
        <v>1219</v>
      </c>
      <c r="D62" s="204">
        <f>D56*$B$56/$E$54*D55</f>
        <v>0</v>
      </c>
      <c r="E62" s="344">
        <f>E56*$B$56/$E$54*E55</f>
        <v>548.21917808219177</v>
      </c>
      <c r="F62" s="344">
        <f>F56*$B$56/$F$54*F55</f>
        <v>1437.2876712328766</v>
      </c>
      <c r="G62" s="344">
        <f>G56*$B$56/$F$54*G55</f>
        <v>2017.2082191780821</v>
      </c>
      <c r="H62" s="344">
        <f>H56*$B$56/$F$54*H55</f>
        <v>2412.1643835616437</v>
      </c>
      <c r="I62" s="344">
        <f>I56*$B$56/$F$54*I55</f>
        <v>2385.9452054794519</v>
      </c>
      <c r="J62" s="344">
        <f>J56*$B$56/$J$54*J55</f>
        <v>2379.4262295081967</v>
      </c>
      <c r="K62" s="344">
        <f>K56*$B$56/$J$54*K55</f>
        <v>2405.5737704918033</v>
      </c>
      <c r="L62" s="344">
        <f>L56*$B$56/$J$54*L55</f>
        <v>2405.5737704918033</v>
      </c>
      <c r="M62" s="344">
        <f>M56*B56/N54*M55</f>
        <v>2359.7260273972602</v>
      </c>
      <c r="N62" s="344">
        <f>N56*$B$56/$N$54*N55</f>
        <v>2385.9452054794519</v>
      </c>
      <c r="O62" s="344">
        <f>O56*$B$56/$N$54*O55</f>
        <v>2412.1643835616437</v>
      </c>
      <c r="P62" s="344">
        <f>P56*$B$56/$N$54*P55</f>
        <v>2412.1643835616437</v>
      </c>
      <c r="Q62" s="344">
        <f>Q56*B56/R54*Q55</f>
        <v>2359.7260273972602</v>
      </c>
      <c r="R62" s="344">
        <f>R56*$B$56/$R$54*R55</f>
        <v>2385.9452054794519</v>
      </c>
      <c r="S62" s="344">
        <f>S56*$B$56/$R$54*S55</f>
        <v>2412.1643835616437</v>
      </c>
      <c r="T62" s="344">
        <f>T56*$B$56/$R$54*T55</f>
        <v>2412.1643835616437</v>
      </c>
      <c r="U62" s="344">
        <f>U56*$B$56/$R$54*U55</f>
        <v>2359.7260273972602</v>
      </c>
      <c r="V62" s="344">
        <f>V56*$B$56/$V$54*V55</f>
        <v>2385.9452054794519</v>
      </c>
      <c r="W62" s="344">
        <f>W56*$B$56/$V$54*W55</f>
        <v>2412.1643835616437</v>
      </c>
      <c r="X62" s="344">
        <f>X56*$B$56/$V$54*X55</f>
        <v>2412.1643835616437</v>
      </c>
      <c r="Y62" s="344">
        <f>Y56*$B$56/$V$54*Y55</f>
        <v>2412.1643835616437</v>
      </c>
      <c r="Z62" s="344">
        <f>Z56*$B$56/$Z$54*Z55</f>
        <v>1587.7262295081964</v>
      </c>
      <c r="AA62" s="344">
        <f>AA56*$B$56/$Z$54*AA55</f>
        <v>0</v>
      </c>
      <c r="AB62" s="344">
        <f>AB56*$B$56/$Z$54*AB55</f>
        <v>0</v>
      </c>
      <c r="AC62" s="344">
        <f>AC56*$B$56/$Z$54*AC55</f>
        <v>0</v>
      </c>
    </row>
    <row r="63" spans="1:29" ht="23.25" customHeight="1">
      <c r="A63" s="988" t="s">
        <v>1369</v>
      </c>
      <c r="B63" s="313"/>
      <c r="C63" s="589" t="s">
        <v>1220</v>
      </c>
      <c r="D63" s="344">
        <f>D57*$B$57/$E$54*D55</f>
        <v>3101.9178082191784</v>
      </c>
      <c r="E63" s="344">
        <f>E57*$B$57/$E$54*E55</f>
        <v>9512.5479452054806</v>
      </c>
      <c r="F63" s="344">
        <f>F57*$B$57/$F$54*F55</f>
        <v>9096.1643835616433</v>
      </c>
      <c r="G63" s="344">
        <f>G57*$B$57/$F$54*G55</f>
        <v>8985.3150684931497</v>
      </c>
      <c r="H63" s="344">
        <f>H57*$B$57/$F$54*H55</f>
        <v>8869.8082191780832</v>
      </c>
      <c r="I63" s="344">
        <f>I57*B57/J54*I55</f>
        <v>8301.3879781420765</v>
      </c>
      <c r="J63" s="344">
        <f>J57*$B$57/$J$54*J55</f>
        <v>7853.3497267759576</v>
      </c>
      <c r="K63" s="344">
        <f>K57*$B$57/$J$54*K55</f>
        <v>7486.688524590164</v>
      </c>
      <c r="L63" s="344">
        <f>L57*$B$57/$J$54*L55</f>
        <v>7033.7267759562847</v>
      </c>
      <c r="M63" s="344">
        <f>M57*$B$57/$J$54*M55</f>
        <v>6437.7049180327886</v>
      </c>
      <c r="N63" s="344">
        <f t="shared" ref="N63:T63" si="22">N57*$B$57/$N$54*N55</f>
        <v>6077.8027397260275</v>
      </c>
      <c r="O63" s="344">
        <f t="shared" si="22"/>
        <v>5690.3890410958902</v>
      </c>
      <c r="P63" s="344">
        <f t="shared" si="22"/>
        <v>5236.186301369863</v>
      </c>
      <c r="Q63" s="344">
        <f t="shared" si="22"/>
        <v>4678.0273972602736</v>
      </c>
      <c r="R63" s="344">
        <f t="shared" si="22"/>
        <v>4280.7397260273974</v>
      </c>
      <c r="S63" s="344">
        <f t="shared" si="22"/>
        <v>3873.5780821917815</v>
      </c>
      <c r="T63" s="344">
        <f t="shared" si="22"/>
        <v>3419.3753424657539</v>
      </c>
      <c r="U63" s="344">
        <f>U57*$B$57/$R$54*U55</f>
        <v>2900.7123287671229</v>
      </c>
      <c r="V63" s="344">
        <f>V57*$B$57/$V$54*V55</f>
        <v>2483.6767123287673</v>
      </c>
      <c r="W63" s="344">
        <f>W57*$B$57/$V$54*W55</f>
        <v>2056.7671232876714</v>
      </c>
      <c r="X63" s="344">
        <f>X57*$B$57/$V$54*X55</f>
        <v>1602.5643835616443</v>
      </c>
      <c r="Y63" s="344">
        <f>Y57*$B$57/$V$54*Y55</f>
        <v>1148.3616438356164</v>
      </c>
      <c r="Z63" s="344">
        <f>Z57*$B$57/$Z$54*Z55</f>
        <v>684.7377049180327</v>
      </c>
      <c r="AA63" s="344">
        <f>AA57*$B$57/$Z$54*AA55</f>
        <v>236.6994535519126</v>
      </c>
      <c r="AB63" s="344">
        <f>AB57*$B$57/$Z$54*AB55</f>
        <v>0</v>
      </c>
      <c r="AC63" s="344">
        <f>AC57*$B$57/$Z$54*AC55</f>
        <v>0</v>
      </c>
    </row>
    <row r="64" spans="1:29" ht="21.75" customHeight="1">
      <c r="A64" s="988" t="s">
        <v>1370</v>
      </c>
      <c r="B64" s="313"/>
      <c r="C64" s="589" t="s">
        <v>1221</v>
      </c>
      <c r="D64" s="344">
        <f>D58*$B$58/$E$54*D55</f>
        <v>623.8767123287671</v>
      </c>
      <c r="E64" s="344">
        <f>E58*$B$58/$E$54*E55</f>
        <v>1913.2219178082191</v>
      </c>
      <c r="F64" s="344">
        <f t="shared" ref="F64:I65" si="23">F58*$B$58/$F$54*F55</f>
        <v>1871.6301369863013</v>
      </c>
      <c r="G64" s="344">
        <f t="shared" si="23"/>
        <v>1892.4260273972602</v>
      </c>
      <c r="H64" s="344">
        <f t="shared" si="23"/>
        <v>1913.2219178082191</v>
      </c>
      <c r="I64" s="344">
        <f>I58*B58/J54*I55</f>
        <v>1357.3246994535521</v>
      </c>
      <c r="J64" s="344">
        <f>J58*B58/J54*J55</f>
        <v>766.0509289617487</v>
      </c>
      <c r="K64" s="344">
        <f>K58*$B$58/$J$54*K55</f>
        <v>0</v>
      </c>
      <c r="L64" s="344">
        <f>L58*$B$58/$J$54*L55</f>
        <v>0</v>
      </c>
      <c r="M64" s="344">
        <f>M58*$B$58/$J$54*M55</f>
        <v>0</v>
      </c>
      <c r="N64" s="344">
        <f>N58*$B$58/$N$54*N55</f>
        <v>0</v>
      </c>
      <c r="O64" s="344">
        <f>O58*$B$58/$N$54*O55</f>
        <v>0</v>
      </c>
      <c r="P64" s="344">
        <f>P58*$B$58/$N$54*P55</f>
        <v>0</v>
      </c>
      <c r="Q64" s="344">
        <f>Q58*$B$58/$N$54*Q55</f>
        <v>0</v>
      </c>
      <c r="R64" s="344">
        <f>R58*$B$58/$R$54*R55</f>
        <v>0</v>
      </c>
      <c r="S64" s="344">
        <f>S58*$B$58/$R$54*S55</f>
        <v>0</v>
      </c>
      <c r="T64" s="344">
        <f>T58*$B$58/$R$54*T55</f>
        <v>0</v>
      </c>
      <c r="U64" s="344">
        <f>U58*$B$58/$R$54*U55</f>
        <v>0</v>
      </c>
      <c r="V64" s="344">
        <f t="shared" ref="V64:Y65" si="24">V58*$B$58/$V$54*V55</f>
        <v>0</v>
      </c>
      <c r="W64" s="344">
        <f t="shared" si="24"/>
        <v>0</v>
      </c>
      <c r="X64" s="344">
        <f t="shared" si="24"/>
        <v>0</v>
      </c>
      <c r="Y64" s="344">
        <f t="shared" si="24"/>
        <v>0</v>
      </c>
      <c r="Z64" s="344">
        <f t="shared" ref="Z64:AC65" si="25">Z58*$B$58/$Z$54*Z55</f>
        <v>0</v>
      </c>
      <c r="AA64" s="344">
        <f t="shared" si="25"/>
        <v>0</v>
      </c>
      <c r="AB64" s="344">
        <f t="shared" si="25"/>
        <v>0</v>
      </c>
      <c r="AC64" s="344">
        <f t="shared" si="25"/>
        <v>0</v>
      </c>
    </row>
    <row r="65" spans="1:29" ht="20.25" customHeight="1">
      <c r="A65" s="988" t="s">
        <v>1371</v>
      </c>
      <c r="B65" s="313"/>
      <c r="C65" s="589" t="s">
        <v>1221</v>
      </c>
      <c r="D65" s="344">
        <f>D59*$B$58/$E$54*D56</f>
        <v>0</v>
      </c>
      <c r="E65" s="344">
        <f>E59*$B$58/$E$54*E56</f>
        <v>0</v>
      </c>
      <c r="F65" s="344">
        <f t="shared" si="23"/>
        <v>0</v>
      </c>
      <c r="G65" s="344">
        <f t="shared" si="23"/>
        <v>0</v>
      </c>
      <c r="H65" s="344">
        <f t="shared" si="23"/>
        <v>0</v>
      </c>
      <c r="I65" s="344">
        <f t="shared" si="23"/>
        <v>0</v>
      </c>
      <c r="J65" s="344">
        <f>J59*$B$59/J54*J55</f>
        <v>2113.3879781420765</v>
      </c>
      <c r="K65" s="344">
        <f>K59*B59/J54*K55</f>
        <v>2136.6120218579235</v>
      </c>
      <c r="L65" s="344">
        <f>L59*B59/J54*L55</f>
        <v>2136.6120218579235</v>
      </c>
      <c r="M65" s="344">
        <f>M59*B59/N54*M55</f>
        <v>2095.8904109589039</v>
      </c>
      <c r="N65" s="344">
        <f>N59*B59/N54*N55</f>
        <v>2119.1780821917805</v>
      </c>
      <c r="O65" s="344">
        <f>O59*B59/N54*O55</f>
        <v>2142.4657534246576</v>
      </c>
      <c r="P65" s="344">
        <f>P59*B59/N54*P55</f>
        <v>2142.4657534246576</v>
      </c>
      <c r="Q65" s="344">
        <f>Q59*B59/R54*Q55</f>
        <v>2095.8904109589039</v>
      </c>
      <c r="R65" s="344">
        <f>R59*B59/R54*R55</f>
        <v>2119.1780821917805</v>
      </c>
      <c r="S65" s="344">
        <f>S59*B59/R54*S55</f>
        <v>2142.4657534246576</v>
      </c>
      <c r="T65" s="344">
        <f>T59*B59/R54*T55</f>
        <v>1431.1671232876713</v>
      </c>
      <c r="U65" s="344">
        <f>U59*B59/V54*V55</f>
        <v>0</v>
      </c>
      <c r="V65" s="344">
        <f t="shared" si="24"/>
        <v>0</v>
      </c>
      <c r="W65" s="344">
        <f t="shared" si="24"/>
        <v>0</v>
      </c>
      <c r="X65" s="344">
        <f t="shared" si="24"/>
        <v>0</v>
      </c>
      <c r="Y65" s="344">
        <f t="shared" si="24"/>
        <v>0</v>
      </c>
      <c r="Z65" s="344">
        <f t="shared" si="25"/>
        <v>0</v>
      </c>
      <c r="AA65" s="344">
        <f t="shared" si="25"/>
        <v>0</v>
      </c>
      <c r="AB65" s="344">
        <f t="shared" si="25"/>
        <v>0</v>
      </c>
      <c r="AC65" s="344">
        <f t="shared" si="25"/>
        <v>0</v>
      </c>
    </row>
    <row r="66" spans="1:29" ht="37.5" customHeight="1">
      <c r="B66" s="1"/>
      <c r="C66" s="590" t="s">
        <v>1223</v>
      </c>
      <c r="D66" s="591">
        <f>SUM(D62:D64)</f>
        <v>3725.7945205479455</v>
      </c>
      <c r="E66" s="592">
        <f>SUM(E62:E64)</f>
        <v>11973.989041095892</v>
      </c>
      <c r="F66" s="592">
        <f>SUM(F62:F64)</f>
        <v>12405.082191780821</v>
      </c>
      <c r="G66" s="592">
        <f>SUM(G62:G64)</f>
        <v>12894.949315068492</v>
      </c>
      <c r="H66" s="592">
        <f>SUM(H62:H64)</f>
        <v>13195.194520547946</v>
      </c>
      <c r="I66" s="844">
        <f>SUM(I62:I65)</f>
        <v>12044.65788307508</v>
      </c>
      <c r="J66" s="844">
        <f t="shared" ref="J66:AC66" si="26">SUM(J62:J65)</f>
        <v>13112.214863387981</v>
      </c>
      <c r="K66" s="844">
        <f t="shared" si="26"/>
        <v>12028.874316939891</v>
      </c>
      <c r="L66" s="844">
        <f t="shared" si="26"/>
        <v>11575.912568306012</v>
      </c>
      <c r="M66" s="845">
        <f t="shared" si="26"/>
        <v>10893.321356388953</v>
      </c>
      <c r="N66" s="845">
        <f t="shared" si="26"/>
        <v>10582.92602739726</v>
      </c>
      <c r="O66" s="845">
        <f t="shared" si="26"/>
        <v>10245.019178082192</v>
      </c>
      <c r="P66" s="845">
        <f t="shared" si="26"/>
        <v>9790.8164383561652</v>
      </c>
      <c r="Q66" s="844">
        <f t="shared" si="26"/>
        <v>9133.6438356164381</v>
      </c>
      <c r="R66" s="844">
        <f t="shared" si="26"/>
        <v>8785.8630136986303</v>
      </c>
      <c r="S66" s="844">
        <f t="shared" si="26"/>
        <v>8428.2082191780828</v>
      </c>
      <c r="T66" s="844">
        <f t="shared" si="26"/>
        <v>7262.7068493150691</v>
      </c>
      <c r="U66" s="845">
        <f t="shared" si="26"/>
        <v>5260.4383561643826</v>
      </c>
      <c r="V66" s="845">
        <f t="shared" si="26"/>
        <v>4869.6219178082192</v>
      </c>
      <c r="W66" s="845">
        <f t="shared" si="26"/>
        <v>4468.9315068493152</v>
      </c>
      <c r="X66" s="845">
        <f t="shared" si="26"/>
        <v>4014.728767123288</v>
      </c>
      <c r="Y66" s="591">
        <f t="shared" si="26"/>
        <v>3560.5260273972599</v>
      </c>
      <c r="Z66" s="591">
        <f t="shared" si="26"/>
        <v>2272.4639344262291</v>
      </c>
      <c r="AA66" s="591">
        <f t="shared" si="26"/>
        <v>236.6994535519126</v>
      </c>
      <c r="AB66" s="591">
        <f t="shared" si="26"/>
        <v>0</v>
      </c>
      <c r="AC66" s="591">
        <f t="shared" si="26"/>
        <v>0</v>
      </c>
    </row>
    <row r="67" spans="1:29" hidden="1"/>
    <row r="69" spans="1:29">
      <c r="A69" s="593"/>
      <c r="B69" s="593" t="s">
        <v>1224</v>
      </c>
      <c r="C69" s="593"/>
      <c r="D69" s="593"/>
      <c r="E69" s="594" t="s">
        <v>595</v>
      </c>
      <c r="F69" s="593"/>
      <c r="G69" s="593"/>
      <c r="H69" s="593"/>
      <c r="I69" s="594" t="s">
        <v>596</v>
      </c>
      <c r="J69" s="848" t="s">
        <v>1373</v>
      </c>
      <c r="K69" s="593"/>
      <c r="L69" s="593"/>
      <c r="M69" s="594" t="s">
        <v>597</v>
      </c>
      <c r="N69" s="848" t="s">
        <v>1373</v>
      </c>
      <c r="O69" s="593"/>
      <c r="P69" s="593"/>
      <c r="Q69" s="594" t="s">
        <v>598</v>
      </c>
      <c r="R69" s="848" t="s">
        <v>1373</v>
      </c>
      <c r="S69" s="593"/>
      <c r="T69" s="593"/>
      <c r="U69" s="594" t="s">
        <v>599</v>
      </c>
      <c r="V69" s="848" t="s">
        <v>1373</v>
      </c>
      <c r="W69" s="593"/>
      <c r="X69" s="593"/>
      <c r="Y69" s="204"/>
      <c r="Z69" s="204"/>
      <c r="AA69" s="204"/>
      <c r="AB69" s="204"/>
    </row>
    <row r="70" spans="1:29" hidden="1">
      <c r="A70" s="595"/>
      <c r="B70" s="595"/>
      <c r="C70" s="595"/>
      <c r="D70" s="595"/>
      <c r="E70" s="595"/>
      <c r="F70" s="595"/>
      <c r="G70" s="595"/>
      <c r="H70" s="595"/>
      <c r="I70" s="595"/>
      <c r="J70" s="595"/>
      <c r="K70" s="595"/>
      <c r="L70" s="595"/>
      <c r="M70" s="595"/>
      <c r="N70" s="595"/>
      <c r="O70" s="595"/>
      <c r="P70" s="595"/>
      <c r="Q70" s="595"/>
      <c r="R70" s="595"/>
      <c r="S70" s="595"/>
      <c r="T70" s="595"/>
      <c r="U70" s="595"/>
      <c r="V70" s="595"/>
      <c r="W70" s="595"/>
      <c r="X70" s="595"/>
    </row>
    <row r="71" spans="1:29" hidden="1">
      <c r="A71" s="595"/>
      <c r="B71" s="1697" t="s">
        <v>1225</v>
      </c>
      <c r="C71" s="1697"/>
      <c r="D71" s="1697"/>
      <c r="E71" s="1697"/>
      <c r="F71" s="1697"/>
      <c r="G71" s="1697"/>
      <c r="H71" s="1697"/>
      <c r="I71" s="1697"/>
      <c r="J71" s="1697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595"/>
    </row>
    <row r="72" spans="1:29" hidden="1">
      <c r="A72" s="595"/>
      <c r="B72" s="596" t="s">
        <v>22</v>
      </c>
      <c r="C72" s="597" t="s">
        <v>1226</v>
      </c>
      <c r="D72" s="596">
        <v>2019</v>
      </c>
      <c r="E72" s="596">
        <v>2020</v>
      </c>
      <c r="F72" s="596">
        <v>2021</v>
      </c>
      <c r="G72" s="596">
        <v>2022</v>
      </c>
      <c r="H72" s="596">
        <v>2023</v>
      </c>
      <c r="I72" s="596">
        <v>2024</v>
      </c>
      <c r="J72" s="597" t="s">
        <v>686</v>
      </c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5"/>
      <c r="X72" s="595"/>
    </row>
    <row r="73" spans="1:29" hidden="1">
      <c r="A73" s="595"/>
      <c r="B73" s="596" t="s">
        <v>1227</v>
      </c>
      <c r="C73" s="598">
        <f>C74-C75</f>
        <v>-63149.333333333372</v>
      </c>
      <c r="D73" s="598">
        <f t="shared" ref="D73:I73" si="27">D74-D75</f>
        <v>220948.80000000005</v>
      </c>
      <c r="E73" s="598">
        <f t="shared" si="27"/>
        <v>246800</v>
      </c>
      <c r="F73" s="598">
        <f t="shared" si="27"/>
        <v>257188</v>
      </c>
      <c r="G73" s="598">
        <f t="shared" si="27"/>
        <v>242360.80000000005</v>
      </c>
      <c r="H73" s="598">
        <f t="shared" si="27"/>
        <v>238500</v>
      </c>
      <c r="I73" s="598">
        <f t="shared" si="27"/>
        <v>251696</v>
      </c>
      <c r="J73" s="598">
        <f>SUM(C73:I73)</f>
        <v>1394344.2666666666</v>
      </c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</row>
    <row r="74" spans="1:29" hidden="1">
      <c r="A74" s="595"/>
      <c r="B74" s="599" t="s">
        <v>1228</v>
      </c>
      <c r="C74" s="600">
        <v>640650</v>
      </c>
      <c r="D74" s="600">
        <v>2004100</v>
      </c>
      <c r="E74" s="600">
        <v>2048800</v>
      </c>
      <c r="F74" s="600">
        <v>2069288</v>
      </c>
      <c r="G74" s="600">
        <v>2110176</v>
      </c>
      <c r="H74" s="600">
        <v>2149600</v>
      </c>
      <c r="I74" s="600">
        <v>2171096</v>
      </c>
      <c r="J74" s="600">
        <f t="shared" ref="J74:J85" si="28">SUM(C74:I74)</f>
        <v>13193710</v>
      </c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</row>
    <row r="75" spans="1:29" hidden="1">
      <c r="A75" s="595"/>
      <c r="B75" s="599" t="s">
        <v>1229</v>
      </c>
      <c r="C75" s="600">
        <v>703799.33333333337</v>
      </c>
      <c r="D75" s="600">
        <v>1783151.2</v>
      </c>
      <c r="E75" s="600">
        <v>1802000</v>
      </c>
      <c r="F75" s="600">
        <v>1812100</v>
      </c>
      <c r="G75" s="600">
        <v>1867815.2</v>
      </c>
      <c r="H75" s="600">
        <v>1911100</v>
      </c>
      <c r="I75" s="600">
        <v>1919400</v>
      </c>
      <c r="J75" s="600">
        <f t="shared" si="28"/>
        <v>11799365.733333334</v>
      </c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</row>
    <row r="76" spans="1:29" hidden="1">
      <c r="A76" s="595"/>
      <c r="B76" s="599"/>
      <c r="C76" s="601"/>
      <c r="D76" s="601"/>
      <c r="E76" s="602"/>
      <c r="F76" s="602"/>
      <c r="G76" s="602"/>
      <c r="H76" s="602"/>
      <c r="I76" s="602"/>
      <c r="J76" s="601">
        <f t="shared" si="28"/>
        <v>0</v>
      </c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595"/>
    </row>
    <row r="77" spans="1:29" hidden="1">
      <c r="A77" s="595"/>
      <c r="B77" s="596" t="s">
        <v>1230</v>
      </c>
      <c r="C77" s="598">
        <f t="shared" ref="C77:I77" si="29">C78-SUM(C79:C80)</f>
        <v>85652.766575342452</v>
      </c>
      <c r="D77" s="598">
        <f t="shared" si="29"/>
        <v>-16992.499842465739</v>
      </c>
      <c r="E77" s="598">
        <f t="shared" si="29"/>
        <v>-128448.18129952185</v>
      </c>
      <c r="F77" s="598">
        <f t="shared" si="29"/>
        <v>-202653.03064726031</v>
      </c>
      <c r="G77" s="598">
        <f t="shared" si="29"/>
        <v>-112382.22479109591</v>
      </c>
      <c r="H77" s="598">
        <f t="shared" si="29"/>
        <v>-104834.89564726029</v>
      </c>
      <c r="I77" s="598">
        <f t="shared" si="29"/>
        <v>-179102.3876181831</v>
      </c>
      <c r="J77" s="598">
        <f>SUM(C77:I77)</f>
        <v>-658760.45327044476</v>
      </c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</row>
    <row r="78" spans="1:29" hidden="1">
      <c r="A78" s="595"/>
      <c r="B78" s="599" t="s">
        <v>1231</v>
      </c>
      <c r="C78" s="600">
        <v>558900</v>
      </c>
      <c r="D78" s="600">
        <v>79000</v>
      </c>
      <c r="E78" s="600">
        <v>6000</v>
      </c>
      <c r="F78" s="600">
        <v>0</v>
      </c>
      <c r="G78" s="600">
        <v>0</v>
      </c>
      <c r="H78" s="600">
        <v>0</v>
      </c>
      <c r="I78" s="600">
        <v>0</v>
      </c>
      <c r="J78" s="600">
        <f t="shared" si="28"/>
        <v>643900</v>
      </c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</row>
    <row r="79" spans="1:29" hidden="1">
      <c r="A79" s="595"/>
      <c r="B79" s="599" t="s">
        <v>1232</v>
      </c>
      <c r="C79" s="600">
        <v>452685.28</v>
      </c>
      <c r="D79" s="600">
        <v>43238.1</v>
      </c>
      <c r="E79" s="600">
        <v>86476.2</v>
      </c>
      <c r="F79" s="600">
        <v>166376.20000000001</v>
      </c>
      <c r="G79" s="600">
        <v>86476.2</v>
      </c>
      <c r="H79" s="600">
        <v>86496.2</v>
      </c>
      <c r="I79" s="600">
        <v>174837.15000000002</v>
      </c>
      <c r="J79" s="600">
        <f t="shared" si="28"/>
        <v>1096585.33</v>
      </c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</row>
    <row r="80" spans="1:29" hidden="1">
      <c r="A80" s="595"/>
      <c r="B80" s="599" t="s">
        <v>1233</v>
      </c>
      <c r="C80" s="600">
        <v>20561.953424657535</v>
      </c>
      <c r="D80" s="600">
        <v>52754.399842465747</v>
      </c>
      <c r="E80" s="600">
        <v>47971.98129952186</v>
      </c>
      <c r="F80" s="600">
        <v>36276.830647260285</v>
      </c>
      <c r="G80" s="600">
        <v>25906.024791095908</v>
      </c>
      <c r="H80" s="600">
        <v>18338.695647260287</v>
      </c>
      <c r="I80" s="600">
        <v>4265.2376181830732</v>
      </c>
      <c r="J80" s="600">
        <f t="shared" si="28"/>
        <v>206075.12327044472</v>
      </c>
      <c r="K80" s="595"/>
      <c r="L80" s="595"/>
      <c r="M80" s="595"/>
      <c r="N80" s="595"/>
      <c r="O80" s="595"/>
      <c r="P80" s="595"/>
      <c r="Q80" s="595"/>
      <c r="R80" s="595"/>
      <c r="S80" s="595"/>
      <c r="T80" s="595"/>
      <c r="U80" s="595"/>
      <c r="V80" s="595"/>
      <c r="W80" s="595"/>
      <c r="X80" s="595"/>
    </row>
    <row r="81" spans="1:24" hidden="1">
      <c r="A81" s="595"/>
      <c r="B81" s="599"/>
      <c r="C81" s="601"/>
      <c r="D81" s="601"/>
      <c r="E81" s="602"/>
      <c r="F81" s="602"/>
      <c r="G81" s="602"/>
      <c r="H81" s="602"/>
      <c r="I81" s="602"/>
      <c r="J81" s="601">
        <f t="shared" si="28"/>
        <v>0</v>
      </c>
      <c r="K81" s="595"/>
      <c r="L81" s="595"/>
      <c r="M81" s="595"/>
      <c r="N81" s="595"/>
      <c r="O81" s="595"/>
      <c r="P81" s="595"/>
      <c r="Q81" s="595"/>
      <c r="R81" s="595"/>
      <c r="S81" s="595"/>
      <c r="T81" s="595"/>
      <c r="U81" s="595"/>
      <c r="V81" s="595"/>
      <c r="W81" s="595"/>
      <c r="X81" s="595"/>
    </row>
    <row r="82" spans="1:24" hidden="1">
      <c r="A82" s="595"/>
      <c r="B82" s="596" t="s">
        <v>1234</v>
      </c>
      <c r="C82" s="598">
        <f t="shared" ref="C82:I82" si="30">C83-C84-C85</f>
        <v>-665400</v>
      </c>
      <c r="D82" s="598">
        <f t="shared" si="30"/>
        <v>-201458</v>
      </c>
      <c r="E82" s="598">
        <f t="shared" si="30"/>
        <v>-117000</v>
      </c>
      <c r="F82" s="598">
        <f t="shared" si="30"/>
        <v>-55000</v>
      </c>
      <c r="G82" s="598">
        <f t="shared" si="30"/>
        <v>-130000</v>
      </c>
      <c r="H82" s="598">
        <f t="shared" si="30"/>
        <v>-120000</v>
      </c>
      <c r="I82" s="598">
        <f t="shared" si="30"/>
        <v>-90000</v>
      </c>
      <c r="J82" s="598">
        <f>SUM(C82:I82)</f>
        <v>-1378858</v>
      </c>
      <c r="K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</row>
    <row r="83" spans="1:24" hidden="1">
      <c r="A83" s="595"/>
      <c r="B83" s="603" t="s">
        <v>1235</v>
      </c>
      <c r="C83" s="600">
        <v>77000</v>
      </c>
      <c r="D83" s="600">
        <v>171891</v>
      </c>
      <c r="E83" s="600">
        <v>0</v>
      </c>
      <c r="F83" s="600">
        <v>0</v>
      </c>
      <c r="G83" s="600">
        <v>0</v>
      </c>
      <c r="H83" s="600">
        <v>0</v>
      </c>
      <c r="I83" s="600">
        <v>0</v>
      </c>
      <c r="J83" s="600">
        <f t="shared" si="28"/>
        <v>248891</v>
      </c>
      <c r="K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</row>
    <row r="84" spans="1:24" hidden="1">
      <c r="A84" s="595"/>
      <c r="B84" s="603" t="s">
        <v>1236</v>
      </c>
      <c r="C84" s="600">
        <v>712400</v>
      </c>
      <c r="D84" s="600">
        <v>296349</v>
      </c>
      <c r="E84" s="600">
        <v>0</v>
      </c>
      <c r="F84" s="600">
        <v>0</v>
      </c>
      <c r="G84" s="600">
        <v>0</v>
      </c>
      <c r="H84" s="600">
        <v>0</v>
      </c>
      <c r="I84" s="600">
        <v>0</v>
      </c>
      <c r="J84" s="600">
        <f t="shared" si="28"/>
        <v>1008749</v>
      </c>
      <c r="K84" s="595"/>
      <c r="L84" s="604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</row>
    <row r="85" spans="1:24" hidden="1">
      <c r="A85" s="595"/>
      <c r="B85" s="603" t="s">
        <v>1237</v>
      </c>
      <c r="C85" s="600">
        <v>30000</v>
      </c>
      <c r="D85" s="600">
        <v>77000</v>
      </c>
      <c r="E85" s="600">
        <v>117000</v>
      </c>
      <c r="F85" s="600">
        <v>55000</v>
      </c>
      <c r="G85" s="600">
        <v>130000</v>
      </c>
      <c r="H85" s="600">
        <v>120000</v>
      </c>
      <c r="I85" s="600">
        <v>90000</v>
      </c>
      <c r="J85" s="600">
        <f t="shared" si="28"/>
        <v>619000</v>
      </c>
      <c r="K85" s="595"/>
      <c r="L85" s="595"/>
      <c r="M85" s="595"/>
      <c r="N85" s="595"/>
      <c r="O85" s="595"/>
      <c r="P85" s="595"/>
      <c r="Q85" s="595"/>
      <c r="R85" s="595"/>
      <c r="S85" s="595"/>
      <c r="T85" s="595"/>
      <c r="U85" s="595"/>
      <c r="V85" s="595"/>
      <c r="W85" s="595"/>
      <c r="X85" s="595"/>
    </row>
    <row r="86" spans="1:24" hidden="1">
      <c r="A86" s="595"/>
      <c r="B86" s="593"/>
      <c r="C86" s="593"/>
      <c r="D86" s="601"/>
      <c r="E86" s="593"/>
      <c r="F86" s="593"/>
      <c r="G86" s="593"/>
      <c r="H86" s="593"/>
      <c r="I86" s="593"/>
      <c r="J86" s="593"/>
      <c r="K86" s="595"/>
      <c r="L86" s="595"/>
      <c r="M86" s="595"/>
      <c r="N86" s="595"/>
      <c r="O86" s="595"/>
      <c r="P86" s="595"/>
      <c r="Q86" s="595"/>
      <c r="R86" s="595"/>
      <c r="S86" s="595"/>
      <c r="T86" s="595"/>
      <c r="U86" s="595"/>
      <c r="V86" s="595"/>
      <c r="W86" s="595"/>
      <c r="X86" s="595"/>
    </row>
    <row r="87" spans="1:24" hidden="1">
      <c r="A87" s="595"/>
      <c r="B87" s="599" t="s">
        <v>1238</v>
      </c>
      <c r="C87" s="601">
        <v>644537</v>
      </c>
      <c r="D87" s="601">
        <f t="shared" ref="D87:I87" si="31">C89</f>
        <v>1640.4332420090213</v>
      </c>
      <c r="E87" s="601">
        <f t="shared" si="31"/>
        <v>4138.7333995433291</v>
      </c>
      <c r="F87" s="601">
        <f t="shared" si="31"/>
        <v>5490.5521000214794</v>
      </c>
      <c r="G87" s="601">
        <f t="shared" si="31"/>
        <v>5025.5214527611679</v>
      </c>
      <c r="H87" s="601">
        <f t="shared" si="31"/>
        <v>5004.0966616653022</v>
      </c>
      <c r="I87" s="601">
        <f t="shared" si="31"/>
        <v>18669.201014405</v>
      </c>
      <c r="J87" s="601">
        <f>C87</f>
        <v>644537</v>
      </c>
      <c r="K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</row>
    <row r="88" spans="1:24" hidden="1">
      <c r="A88" s="595"/>
      <c r="B88" s="599" t="s">
        <v>1239</v>
      </c>
      <c r="C88" s="601">
        <f>C73+C77+C82</f>
        <v>-642896.56675799098</v>
      </c>
      <c r="D88" s="601">
        <f>D73+D77+D82</f>
        <v>2498.3001575343078</v>
      </c>
      <c r="E88" s="601">
        <f t="shared" ref="E88:J88" si="32">E73+E77+E82</f>
        <v>1351.8187004781503</v>
      </c>
      <c r="F88" s="601">
        <f t="shared" si="32"/>
        <v>-465.03064726031153</v>
      </c>
      <c r="G88" s="601">
        <f t="shared" si="32"/>
        <v>-21.424791095865658</v>
      </c>
      <c r="H88" s="601">
        <f t="shared" si="32"/>
        <v>13665.104352739698</v>
      </c>
      <c r="I88" s="601">
        <f t="shared" si="32"/>
        <v>-17406.3876181831</v>
      </c>
      <c r="J88" s="601">
        <f t="shared" si="32"/>
        <v>-643274.18660377816</v>
      </c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</row>
    <row r="89" spans="1:24" hidden="1">
      <c r="A89" s="595"/>
      <c r="B89" s="599" t="s">
        <v>1240</v>
      </c>
      <c r="C89" s="601">
        <f>C87+C88</f>
        <v>1640.4332420090213</v>
      </c>
      <c r="D89" s="601">
        <f t="shared" ref="D89:J89" si="33">D87+D88</f>
        <v>4138.7333995433291</v>
      </c>
      <c r="E89" s="601">
        <f t="shared" si="33"/>
        <v>5490.5521000214794</v>
      </c>
      <c r="F89" s="601">
        <f t="shared" si="33"/>
        <v>5025.5214527611679</v>
      </c>
      <c r="G89" s="601">
        <f t="shared" si="33"/>
        <v>5004.0966616653022</v>
      </c>
      <c r="H89" s="601">
        <f t="shared" si="33"/>
        <v>18669.201014405</v>
      </c>
      <c r="I89" s="601">
        <f t="shared" si="33"/>
        <v>1262.8133962218999</v>
      </c>
      <c r="J89" s="601">
        <f t="shared" si="33"/>
        <v>1262.8133962218417</v>
      </c>
      <c r="K89" s="595"/>
      <c r="L89" s="595"/>
      <c r="M89" s="595"/>
      <c r="N89" s="595"/>
      <c r="O89" s="595"/>
      <c r="P89" s="595"/>
      <c r="Q89" s="595"/>
      <c r="R89" s="595"/>
      <c r="S89" s="595"/>
      <c r="T89" s="595"/>
      <c r="U89" s="595"/>
      <c r="V89" s="595"/>
      <c r="W89" s="595"/>
      <c r="X89" s="595"/>
    </row>
    <row r="90" spans="1:24" hidden="1">
      <c r="A90" s="595"/>
      <c r="B90" s="593"/>
      <c r="C90" s="593"/>
      <c r="D90" s="593"/>
      <c r="E90" s="593"/>
      <c r="F90" s="593"/>
      <c r="G90" s="593"/>
      <c r="H90" s="593"/>
      <c r="I90" s="593"/>
      <c r="J90" s="593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</row>
    <row r="91" spans="1:24" hidden="1">
      <c r="A91" s="595"/>
      <c r="B91" s="593" t="s">
        <v>1241</v>
      </c>
      <c r="C91" s="605">
        <f t="shared" ref="C91:J91" si="34">(C88+C80+C79)/(C80+C79)</f>
        <v>-0.35847929232605241</v>
      </c>
      <c r="D91" s="605">
        <f t="shared" si="34"/>
        <v>1.0260259932977502</v>
      </c>
      <c r="E91" s="605">
        <f t="shared" si="34"/>
        <v>1.0100545703735968</v>
      </c>
      <c r="F91" s="605">
        <f t="shared" si="34"/>
        <v>0.99770528649004142</v>
      </c>
      <c r="G91" s="605">
        <f t="shared" si="34"/>
        <v>0.9998093578309587</v>
      </c>
      <c r="H91" s="605">
        <f t="shared" si="34"/>
        <v>1.1303488143749283</v>
      </c>
      <c r="I91" s="605">
        <f t="shared" si="34"/>
        <v>0.90281320171291823</v>
      </c>
      <c r="J91" s="605">
        <f t="shared" si="34"/>
        <v>0.50618429768956197</v>
      </c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5"/>
      <c r="V91" s="595"/>
      <c r="W91" s="595"/>
      <c r="X91" s="595"/>
    </row>
    <row r="92" spans="1:24" hidden="1">
      <c r="A92" s="595"/>
      <c r="B92" s="606" t="s">
        <v>1242</v>
      </c>
      <c r="C92" s="607">
        <f t="shared" ref="C92:I92" si="35">(C88+C80+C79+635400)/(C80+C79)</f>
        <v>0.98415930146333463</v>
      </c>
      <c r="D92" s="607">
        <f t="shared" si="35"/>
        <v>7.6452931344052466</v>
      </c>
      <c r="E92" s="607">
        <f t="shared" si="35"/>
        <v>5.7360389151113242</v>
      </c>
      <c r="F92" s="607">
        <f t="shared" si="35"/>
        <v>4.1331136145598197</v>
      </c>
      <c r="G92" s="607">
        <f t="shared" si="35"/>
        <v>6.6537283933468228</v>
      </c>
      <c r="H92" s="607">
        <f t="shared" si="35"/>
        <v>7.1913077734789743</v>
      </c>
      <c r="I92" s="607">
        <f t="shared" si="35"/>
        <v>4.4505046001914721</v>
      </c>
      <c r="J92" s="607">
        <f>(J88+J80+J79+635400)/(J80+J79)</f>
        <v>0.99395530386755093</v>
      </c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</row>
    <row r="93" spans="1:24" hidden="1">
      <c r="A93" s="59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595"/>
      <c r="X93" s="595"/>
    </row>
    <row r="94" spans="1:24" hidden="1">
      <c r="A94" s="595"/>
      <c r="B94" s="1698"/>
      <c r="C94" s="1699"/>
      <c r="D94" s="1699"/>
      <c r="E94" s="1699"/>
      <c r="F94" s="1699"/>
      <c r="G94" s="1699"/>
      <c r="H94" s="1699"/>
      <c r="I94" s="1699"/>
      <c r="J94" s="1699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</row>
    <row r="95" spans="1:24" ht="36.75" hidden="1" customHeight="1">
      <c r="A95" s="595"/>
      <c r="B95" s="1699"/>
      <c r="C95" s="1699"/>
      <c r="D95" s="1699"/>
      <c r="E95" s="1699"/>
      <c r="F95" s="1699"/>
      <c r="G95" s="1699"/>
      <c r="H95" s="1699"/>
      <c r="I95" s="1699"/>
      <c r="J95" s="1699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</row>
    <row r="96" spans="1:24" ht="34.5" hidden="1" customHeight="1">
      <c r="A96" s="595"/>
      <c r="B96" s="1699"/>
      <c r="C96" s="1699"/>
      <c r="D96" s="1699"/>
      <c r="E96" s="1699"/>
      <c r="F96" s="1699"/>
      <c r="G96" s="1699"/>
      <c r="H96" s="1699"/>
      <c r="I96" s="1699"/>
      <c r="J96" s="1699"/>
      <c r="K96" s="595"/>
      <c r="L96" s="595"/>
      <c r="M96" s="595"/>
      <c r="N96" s="595"/>
      <c r="O96" s="595"/>
      <c r="P96" s="595"/>
      <c r="Q96" s="595"/>
      <c r="R96" s="595"/>
      <c r="S96" s="595"/>
      <c r="T96" s="595"/>
      <c r="U96" s="595"/>
      <c r="V96" s="595"/>
      <c r="W96" s="595"/>
      <c r="X96" s="595"/>
    </row>
    <row r="97" spans="1:28" ht="33" hidden="1" customHeight="1">
      <c r="A97" s="595"/>
      <c r="B97" s="1699"/>
      <c r="C97" s="1699"/>
      <c r="D97" s="1699"/>
      <c r="E97" s="1699"/>
      <c r="F97" s="1699"/>
      <c r="G97" s="1699"/>
      <c r="H97" s="1699"/>
      <c r="I97" s="1699"/>
      <c r="J97" s="1699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</row>
    <row r="98" spans="1:28">
      <c r="A98" s="613" t="s">
        <v>1243</v>
      </c>
      <c r="B98" s="614" t="s">
        <v>1244</v>
      </c>
      <c r="C98" s="614"/>
      <c r="D98" s="614"/>
      <c r="E98" s="615">
        <f>E37+F37+G37+H37</f>
        <v>50539.883910472345</v>
      </c>
      <c r="F98" s="615"/>
      <c r="G98" s="615"/>
      <c r="H98" s="615"/>
      <c r="I98" s="615">
        <f>I37+J37+K37+L37</f>
        <v>48761.659631708964</v>
      </c>
      <c r="J98" s="615"/>
      <c r="K98" s="615"/>
      <c r="L98" s="615"/>
      <c r="M98" s="615">
        <f>M37+N37+O37+P37</f>
        <v>41512.083000224571</v>
      </c>
      <c r="N98" s="615"/>
      <c r="O98" s="615"/>
      <c r="P98" s="615"/>
      <c r="Q98" s="615">
        <f>Q37+R37+S37+T37</f>
        <v>33610.42191780822</v>
      </c>
      <c r="R98" s="615"/>
      <c r="S98" s="615"/>
      <c r="T98" s="615"/>
      <c r="U98" s="615">
        <f>U37+V37+W37+X37</f>
        <v>18613.720547945206</v>
      </c>
      <c r="V98" s="595"/>
      <c r="W98" s="595"/>
      <c r="X98" s="595"/>
      <c r="Y98" s="580">
        <f>Y37+Z37</f>
        <v>5832.9899618234886</v>
      </c>
    </row>
    <row r="99" spans="1:28">
      <c r="A99" s="608">
        <v>0.48099999999999998</v>
      </c>
      <c r="B99" s="608" t="s">
        <v>592</v>
      </c>
      <c r="C99" s="593"/>
      <c r="D99" s="593"/>
      <c r="E99" s="609">
        <f>E98*A99</f>
        <v>24309.684160937199</v>
      </c>
      <c r="F99" s="609">
        <v>26767.88</v>
      </c>
      <c r="G99" s="849">
        <f>F99/$F$104</f>
        <v>0.49934294918550848</v>
      </c>
      <c r="H99" s="609"/>
      <c r="I99" s="609">
        <f>I98*A99</f>
        <v>23454.358282852012</v>
      </c>
      <c r="J99" s="609">
        <f>J104*G99</f>
        <v>24348.79092767751</v>
      </c>
      <c r="K99" s="609"/>
      <c r="L99" s="609"/>
      <c r="M99" s="609">
        <f>M98*A99</f>
        <v>19967.311923108016</v>
      </c>
      <c r="N99" s="609">
        <f>N104*G99</f>
        <v>20728.765952165748</v>
      </c>
      <c r="O99" s="609"/>
      <c r="P99" s="609"/>
      <c r="Q99" s="609">
        <f>Q98*A99</f>
        <v>16166.612942465754</v>
      </c>
      <c r="R99" s="609">
        <f>R104*G99</f>
        <v>16783.127203807609</v>
      </c>
      <c r="S99" s="609"/>
      <c r="T99" s="609"/>
      <c r="U99" s="609">
        <f>A99*U98</f>
        <v>8953.1995835616435</v>
      </c>
      <c r="V99" s="609">
        <f>V104*G99</f>
        <v>9294.6301137258579</v>
      </c>
      <c r="W99" s="593"/>
      <c r="X99" s="593"/>
      <c r="Y99" s="204"/>
      <c r="Z99" s="204"/>
      <c r="AA99" s="204"/>
      <c r="AB99" s="204"/>
    </row>
    <row r="100" spans="1:28">
      <c r="A100" s="608">
        <v>0.34300000000000003</v>
      </c>
      <c r="B100" s="608" t="s">
        <v>690</v>
      </c>
      <c r="C100" s="593"/>
      <c r="D100" s="593"/>
      <c r="E100" s="609">
        <f>E98*A100</f>
        <v>17335.180181292017</v>
      </c>
      <c r="F100" s="609">
        <v>20020.366000000002</v>
      </c>
      <c r="G100" s="849">
        <f>F100/$F$104</f>
        <v>0.37347106316276379</v>
      </c>
      <c r="H100" s="609"/>
      <c r="I100" s="609">
        <f>I98*A100</f>
        <v>16725.249253676175</v>
      </c>
      <c r="J100" s="609">
        <f>J104*G100</f>
        <v>18211.068864235167</v>
      </c>
      <c r="K100" s="609"/>
      <c r="L100" s="609"/>
      <c r="M100" s="609">
        <f>M98*A100</f>
        <v>14238.644469077029</v>
      </c>
      <c r="N100" s="609">
        <f>N104*G100</f>
        <v>15503.561772194764</v>
      </c>
      <c r="O100" s="609"/>
      <c r="P100" s="609"/>
      <c r="Q100" s="609">
        <f>Q98*A100</f>
        <v>11528.374717808221</v>
      </c>
      <c r="R100" s="609">
        <f>R104*G100</f>
        <v>12552.520006992894</v>
      </c>
      <c r="S100" s="609"/>
      <c r="T100" s="609"/>
      <c r="U100" s="609">
        <f>A100*U98</f>
        <v>6384.5061479452061</v>
      </c>
      <c r="V100" s="609">
        <f>V104*G100</f>
        <v>6951.6860024556781</v>
      </c>
      <c r="W100" s="593"/>
      <c r="X100" s="593"/>
      <c r="Y100" s="204"/>
      <c r="Z100" s="204"/>
      <c r="AA100" s="204"/>
      <c r="AB100" s="204"/>
    </row>
    <row r="101" spans="1:28">
      <c r="A101" s="608">
        <v>0.121</v>
      </c>
      <c r="B101" s="608" t="s">
        <v>862</v>
      </c>
      <c r="C101" s="593"/>
      <c r="D101" s="593"/>
      <c r="E101" s="609">
        <f>E98*A101</f>
        <v>6115.3259531671538</v>
      </c>
      <c r="F101" s="609">
        <v>3491.75</v>
      </c>
      <c r="G101" s="849">
        <f>F101/$F$104</f>
        <v>6.5137050181728967E-2</v>
      </c>
      <c r="H101" s="609"/>
      <c r="I101" s="609">
        <f>I98*A101</f>
        <v>5900.1608154367841</v>
      </c>
      <c r="J101" s="609">
        <f>J104*G101</f>
        <v>3176.1906703750146</v>
      </c>
      <c r="K101" s="609"/>
      <c r="L101" s="609"/>
      <c r="M101" s="609">
        <f>M98*A101</f>
        <v>5022.9620430271725</v>
      </c>
      <c r="N101" s="609">
        <f>N104*G101</f>
        <v>2703.9746335337259</v>
      </c>
      <c r="O101" s="609"/>
      <c r="P101" s="609"/>
      <c r="Q101" s="609">
        <f>Q98*A101</f>
        <v>4066.8610520547945</v>
      </c>
      <c r="R101" s="609">
        <f>R104*G101</f>
        <v>2189.2837390893574</v>
      </c>
      <c r="S101" s="609"/>
      <c r="T101" s="609"/>
      <c r="U101" s="609">
        <f>A101*U98</f>
        <v>2252.2601863013697</v>
      </c>
      <c r="V101" s="609">
        <f>V104*G101</f>
        <v>1212.4428494001866</v>
      </c>
      <c r="W101" s="593"/>
      <c r="X101" s="593"/>
      <c r="Y101" s="204"/>
      <c r="Z101" s="204"/>
      <c r="AA101" s="204"/>
      <c r="AB101" s="204"/>
    </row>
    <row r="102" spans="1:28">
      <c r="A102" s="608">
        <v>4.2999999999999997E-2</v>
      </c>
      <c r="B102" s="608" t="s">
        <v>1245</v>
      </c>
      <c r="C102" s="593"/>
      <c r="D102" s="593"/>
      <c r="E102" s="609">
        <f>E98*A102</f>
        <v>2173.2150081503105</v>
      </c>
      <c r="F102" s="609">
        <v>2383.02</v>
      </c>
      <c r="G102" s="849">
        <f>F102/$F$104</f>
        <v>4.4454182952406031E-2</v>
      </c>
      <c r="H102" s="609"/>
      <c r="I102" s="609">
        <f>I98*A102</f>
        <v>2096.7513641634855</v>
      </c>
      <c r="J102" s="609">
        <f>J104*G102</f>
        <v>2167.6597383309418</v>
      </c>
      <c r="K102" s="609"/>
      <c r="L102" s="609"/>
      <c r="M102" s="609">
        <f>M98*A102</f>
        <v>1785.0195690096564</v>
      </c>
      <c r="N102" s="609">
        <f>N104*G102</f>
        <v>1845.3857324274472</v>
      </c>
      <c r="O102" s="609"/>
      <c r="P102" s="609"/>
      <c r="Q102" s="609">
        <f>Q98*A102</f>
        <v>1445.2481424657533</v>
      </c>
      <c r="R102" s="609">
        <f>R104*G102</f>
        <v>1494.1238450418041</v>
      </c>
      <c r="S102" s="609"/>
      <c r="T102" s="609"/>
      <c r="U102" s="609">
        <f>A102*U98</f>
        <v>800.38998356164382</v>
      </c>
      <c r="V102" s="609">
        <f>V104*G102</f>
        <v>827.45773866331558</v>
      </c>
      <c r="W102" s="593"/>
      <c r="X102" s="593"/>
      <c r="Y102" s="204"/>
      <c r="Z102" s="204"/>
      <c r="AA102" s="204"/>
      <c r="AB102" s="204"/>
    </row>
    <row r="103" spans="1:28">
      <c r="A103" s="608">
        <v>1.2E-2</v>
      </c>
      <c r="B103" s="593" t="s">
        <v>195</v>
      </c>
      <c r="C103" s="593"/>
      <c r="D103" s="593"/>
      <c r="E103" s="609">
        <f>A103*E98</f>
        <v>606.47860692566815</v>
      </c>
      <c r="F103" s="609">
        <v>943.1879999999951</v>
      </c>
      <c r="G103" s="849">
        <f>F103/$F$104</f>
        <v>1.7594754517592688E-2</v>
      </c>
      <c r="H103" s="609"/>
      <c r="I103" s="609">
        <f>I98*A103</f>
        <v>585.13991558050759</v>
      </c>
      <c r="J103" s="609">
        <f>J104*G103</f>
        <v>857.94943109032829</v>
      </c>
      <c r="K103" s="609"/>
      <c r="L103" s="609"/>
      <c r="M103" s="609">
        <f>M98*A103</f>
        <v>498.14499600269488</v>
      </c>
      <c r="N103" s="609">
        <f>N104*G103</f>
        <v>730.39490990288391</v>
      </c>
      <c r="O103" s="609"/>
      <c r="P103" s="609"/>
      <c r="Q103" s="609">
        <f>Q98*A103</f>
        <v>403.32506301369864</v>
      </c>
      <c r="R103" s="609">
        <f>R104*G103</f>
        <v>591.36712287655246</v>
      </c>
      <c r="S103" s="609"/>
      <c r="T103" s="609"/>
      <c r="U103" s="609">
        <f>A103*U98</f>
        <v>223.36464657534248</v>
      </c>
      <c r="V103" s="609">
        <f>V104*G103</f>
        <v>327.50384370016678</v>
      </c>
      <c r="W103" s="593"/>
      <c r="X103" s="593"/>
      <c r="Y103" s="204"/>
      <c r="Z103" s="204"/>
      <c r="AA103" s="204"/>
      <c r="AB103" s="204"/>
    </row>
    <row r="104" spans="1:28">
      <c r="A104" s="610">
        <f>SUM(A99:A103)</f>
        <v>1</v>
      </c>
      <c r="B104" s="611"/>
      <c r="C104" s="611"/>
      <c r="D104" s="611"/>
      <c r="E104" s="612">
        <f>SUM(E99:E103)</f>
        <v>50539.883910472352</v>
      </c>
      <c r="F104" s="612">
        <v>53606.203999999998</v>
      </c>
      <c r="G104" s="847">
        <f>SUM(G99:G103)</f>
        <v>1</v>
      </c>
      <c r="H104" s="612"/>
      <c r="I104" s="612">
        <f>SUM(I99:I103)</f>
        <v>48761.659631708964</v>
      </c>
      <c r="J104" s="846">
        <f>I66+J66+K66+L66</f>
        <v>48761.659631708964</v>
      </c>
      <c r="K104" s="612"/>
      <c r="L104" s="612"/>
      <c r="M104" s="612">
        <f>SUM(M99:M103)</f>
        <v>41512.083000224578</v>
      </c>
      <c r="N104" s="846">
        <f>M66+N66+O66+P66</f>
        <v>41512.083000224571</v>
      </c>
      <c r="O104" s="612"/>
      <c r="P104" s="612"/>
      <c r="Q104" s="612">
        <f>SUM(Q99:Q103)</f>
        <v>33610.42191780822</v>
      </c>
      <c r="R104" s="846">
        <f>Q66+R66+S66+T66</f>
        <v>33610.42191780822</v>
      </c>
      <c r="S104" s="612"/>
      <c r="T104" s="612"/>
      <c r="U104" s="612">
        <f>SUM(U99:U103)</f>
        <v>18613.720547945202</v>
      </c>
      <c r="V104" s="846">
        <f>U66+V66+W66+X66</f>
        <v>18613.720547945206</v>
      </c>
      <c r="W104" s="611"/>
      <c r="X104" s="611"/>
      <c r="Y104" s="204"/>
      <c r="Z104" s="204"/>
      <c r="AA104" s="204"/>
      <c r="AB104" s="204"/>
    </row>
    <row r="105" spans="1:28">
      <c r="A105" s="595"/>
      <c r="B105" s="595"/>
      <c r="C105" s="595"/>
      <c r="D105" s="595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595"/>
      <c r="S105" s="595"/>
      <c r="T105" s="595"/>
      <c r="U105" s="595"/>
      <c r="V105" s="595"/>
      <c r="W105" s="595"/>
      <c r="X105" s="595"/>
    </row>
    <row r="106" spans="1:28">
      <c r="A106" s="595"/>
      <c r="B106" s="595"/>
      <c r="C106" s="595"/>
      <c r="D106" s="595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5"/>
      <c r="W106" s="595"/>
      <c r="X106" s="595"/>
    </row>
    <row r="107" spans="1:28">
      <c r="A107" s="595"/>
      <c r="B107" s="595" t="s">
        <v>1246</v>
      </c>
      <c r="C107" s="595"/>
      <c r="D107" s="595"/>
      <c r="E107" s="595"/>
      <c r="F107" s="595"/>
      <c r="G107" s="595"/>
      <c r="H107" s="595"/>
      <c r="I107" s="595"/>
      <c r="J107" s="595"/>
      <c r="K107" s="595"/>
      <c r="L107" s="595"/>
      <c r="M107" s="595"/>
      <c r="N107" s="595"/>
      <c r="O107" s="595"/>
      <c r="P107" s="595"/>
      <c r="Q107" s="595"/>
      <c r="R107" s="595"/>
      <c r="S107" s="595"/>
      <c r="T107" s="595"/>
      <c r="U107" s="595"/>
      <c r="V107" s="595"/>
      <c r="W107" s="595"/>
      <c r="X107" s="595"/>
    </row>
    <row r="108" spans="1:28" hidden="1">
      <c r="A108" s="595"/>
      <c r="B108" s="595" t="s">
        <v>1246</v>
      </c>
      <c r="C108" s="595"/>
      <c r="D108" s="595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5"/>
      <c r="S108" s="595"/>
      <c r="T108" s="595"/>
      <c r="U108" s="595"/>
      <c r="V108" s="595"/>
      <c r="W108" s="595"/>
      <c r="X108" s="595"/>
    </row>
    <row r="109" spans="1:28">
      <c r="A109" s="595"/>
      <c r="B109" s="595"/>
      <c r="C109" s="595"/>
      <c r="D109" s="595"/>
      <c r="E109" s="595"/>
      <c r="F109" s="595"/>
      <c r="G109" s="595"/>
      <c r="H109" s="595"/>
      <c r="I109" s="595"/>
      <c r="J109" s="595"/>
      <c r="K109" s="595"/>
      <c r="L109" s="595"/>
      <c r="M109" s="595"/>
      <c r="N109" s="595"/>
      <c r="O109" s="595"/>
      <c r="P109" s="595"/>
      <c r="Q109" s="595"/>
      <c r="R109" s="595"/>
      <c r="S109" s="595"/>
      <c r="T109" s="595"/>
      <c r="U109" s="595"/>
      <c r="V109" s="595"/>
      <c r="W109" s="595"/>
      <c r="X109" s="595"/>
    </row>
    <row r="110" spans="1:28">
      <c r="A110" s="595"/>
      <c r="B110" s="595"/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5"/>
      <c r="W110" s="595"/>
      <c r="X110" s="595"/>
    </row>
    <row r="111" spans="1:28">
      <c r="A111" s="595"/>
      <c r="B111" s="595"/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5"/>
    </row>
    <row r="112" spans="1:28">
      <c r="A112" s="595"/>
      <c r="B112" s="595"/>
      <c r="C112" s="595"/>
      <c r="D112" s="595"/>
      <c r="E112" s="595"/>
      <c r="F112" s="595"/>
      <c r="G112" s="595"/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</row>
  </sheetData>
  <mergeCells count="5">
    <mergeCell ref="A4:B4"/>
    <mergeCell ref="A10:A11"/>
    <mergeCell ref="A18:B18"/>
    <mergeCell ref="B71:J71"/>
    <mergeCell ref="B94:J97"/>
  </mergeCells>
  <pageMargins left="0.51181102362204722" right="0.11811023622047245" top="0.74803149606299213" bottom="0.74803149606299213" header="0.31496062992125984" footer="0.31496062992125984"/>
  <pageSetup paperSize="9" scale="65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sqref="A1:O8"/>
    </sheetView>
  </sheetViews>
  <sheetFormatPr defaultColWidth="8.85546875" defaultRowHeight="15"/>
  <cols>
    <col min="1" max="1" width="23" style="347" customWidth="1"/>
    <col min="2" max="2" width="20.140625" style="347" customWidth="1"/>
    <col min="3" max="3" width="19.7109375" style="347" customWidth="1"/>
    <col min="4" max="4" width="17.85546875" style="347" customWidth="1"/>
    <col min="5" max="5" width="13.42578125" style="347" hidden="1" customWidth="1"/>
    <col min="6" max="6" width="17.85546875" style="347" customWidth="1"/>
    <col min="7" max="7" width="11.28515625" style="347" customWidth="1"/>
    <col min="8" max="8" width="22" style="347" customWidth="1"/>
    <col min="9" max="9" width="19.85546875" style="347" hidden="1" customWidth="1"/>
    <col min="10" max="10" width="25.7109375" style="347" hidden="1" customWidth="1"/>
    <col min="11" max="11" width="17.140625" style="347" customWidth="1"/>
    <col min="12" max="13" width="18.28515625" style="347" customWidth="1"/>
    <col min="14" max="14" width="17.7109375" style="347" customWidth="1"/>
    <col min="15" max="15" width="18.42578125" style="347" customWidth="1"/>
    <col min="16" max="16" width="17.42578125" style="347" customWidth="1"/>
    <col min="17" max="17" width="17.85546875" style="347" customWidth="1"/>
    <col min="18" max="18" width="17.28515625" style="347" customWidth="1"/>
    <col min="19" max="16384" width="8.85546875" style="347"/>
  </cols>
  <sheetData>
    <row r="1" spans="1:18" ht="28.5" customHeight="1">
      <c r="A1" s="616" t="s">
        <v>1365</v>
      </c>
      <c r="B1" s="616"/>
      <c r="C1" s="616"/>
      <c r="D1" s="616"/>
      <c r="E1" s="616"/>
      <c r="F1" s="616"/>
      <c r="G1" s="616"/>
    </row>
    <row r="2" spans="1:18" ht="89.25" customHeight="1">
      <c r="A2" s="617" t="s">
        <v>1248</v>
      </c>
      <c r="B2" s="617" t="s">
        <v>1249</v>
      </c>
      <c r="C2" s="617" t="s">
        <v>1250</v>
      </c>
      <c r="D2" s="617" t="s">
        <v>1251</v>
      </c>
      <c r="E2" s="617" t="s">
        <v>1252</v>
      </c>
      <c r="F2" s="618" t="s">
        <v>1253</v>
      </c>
      <c r="G2" s="619" t="s">
        <v>1252</v>
      </c>
      <c r="H2" s="620" t="s">
        <v>1364</v>
      </c>
      <c r="I2" s="620" t="s">
        <v>1255</v>
      </c>
      <c r="J2" s="620" t="s">
        <v>1324</v>
      </c>
      <c r="K2" s="620" t="s">
        <v>1366</v>
      </c>
      <c r="L2" s="803" t="s">
        <v>1330</v>
      </c>
      <c r="M2" s="620" t="s">
        <v>1367</v>
      </c>
      <c r="N2" s="620" t="s">
        <v>1257</v>
      </c>
      <c r="O2" s="620" t="s">
        <v>1258</v>
      </c>
      <c r="P2" s="620" t="s">
        <v>1259</v>
      </c>
    </row>
    <row r="3" spans="1:18" ht="15.75">
      <c r="A3" s="621" t="s">
        <v>1260</v>
      </c>
      <c r="B3" s="622">
        <v>1685867570.45</v>
      </c>
      <c r="C3" s="622"/>
      <c r="D3" s="622">
        <f>D8*E3/100</f>
        <v>163027488.498045</v>
      </c>
      <c r="E3" s="622">
        <v>47.73</v>
      </c>
      <c r="F3" s="622">
        <f>B3+C3+D3</f>
        <v>1848895058.948045</v>
      </c>
      <c r="G3" s="623">
        <v>0.48099999999999998</v>
      </c>
      <c r="H3" s="622">
        <v>48077503.920000002</v>
      </c>
      <c r="I3" s="622">
        <v>829298337.77999997</v>
      </c>
      <c r="J3" s="622">
        <f>H3+I3/100*2/2</f>
        <v>56370487.297800004</v>
      </c>
      <c r="K3" s="804">
        <f>H3/$H$8</f>
        <v>0.29018344052359579</v>
      </c>
      <c r="L3" s="622">
        <f>H3+I3/100*2+23662.69</f>
        <v>64687133.365599997</v>
      </c>
      <c r="M3" s="622">
        <f>K3*M8</f>
        <v>62348030.535610378</v>
      </c>
      <c r="N3" s="622">
        <f>M3</f>
        <v>62348030.535610378</v>
      </c>
      <c r="O3" s="622">
        <f>N3</f>
        <v>62348030.535610378</v>
      </c>
      <c r="P3" s="622">
        <f>O3</f>
        <v>62348030.535610378</v>
      </c>
      <c r="Q3" s="694"/>
      <c r="R3" s="695"/>
    </row>
    <row r="4" spans="1:18" ht="15.75">
      <c r="A4" s="621" t="s">
        <v>1261</v>
      </c>
      <c r="B4" s="622"/>
      <c r="C4" s="622">
        <v>2907324296.52</v>
      </c>
      <c r="D4" s="622">
        <f>D8*E4/100</f>
        <v>118726911.79953998</v>
      </c>
      <c r="E4" s="622">
        <v>34.76</v>
      </c>
      <c r="F4" s="622">
        <f>B4+C4+D4</f>
        <v>3026051208.31954</v>
      </c>
      <c r="G4" s="623">
        <v>0.34300000000000003</v>
      </c>
      <c r="H4" s="622">
        <v>116657019.98</v>
      </c>
      <c r="I4" s="622">
        <v>4189230678.6999998</v>
      </c>
      <c r="J4" s="622">
        <f>H4+I4/100*2/12*6.42967</f>
        <v>161549304.67652839</v>
      </c>
      <c r="K4" s="804">
        <f>H4/$H$8</f>
        <v>0.70411174996429093</v>
      </c>
      <c r="L4" s="622">
        <f>H4+I4/100*2</f>
        <v>200441633.55400002</v>
      </c>
      <c r="M4" s="622">
        <f>K4*M8</f>
        <v>151283549.49560264</v>
      </c>
      <c r="N4" s="622">
        <f t="shared" ref="N4:P7" si="0">M4</f>
        <v>151283549.49560264</v>
      </c>
      <c r="O4" s="622">
        <f t="shared" si="0"/>
        <v>151283549.49560264</v>
      </c>
      <c r="P4" s="622">
        <f t="shared" si="0"/>
        <v>151283549.49560264</v>
      </c>
      <c r="Q4" s="694"/>
      <c r="R4" s="695"/>
    </row>
    <row r="5" spans="1:18" ht="15.75">
      <c r="A5" s="621" t="s">
        <v>862</v>
      </c>
      <c r="B5" s="622"/>
      <c r="C5" s="622"/>
      <c r="D5" s="622">
        <f>D8*E5/100</f>
        <v>21757492.179604996</v>
      </c>
      <c r="E5" s="622">
        <v>6.37</v>
      </c>
      <c r="F5" s="622">
        <f>B5+C5+D5</f>
        <v>21757492.179604996</v>
      </c>
      <c r="G5" s="623">
        <v>0.121</v>
      </c>
      <c r="H5" s="622">
        <v>424929.52</v>
      </c>
      <c r="I5" s="622"/>
      <c r="J5" s="622">
        <f>H5</f>
        <v>424929.52</v>
      </c>
      <c r="K5" s="804">
        <f>H5/$H$8</f>
        <v>2.5647652236443332E-3</v>
      </c>
      <c r="L5" s="622">
        <f>H5+I5/100*2</f>
        <v>424929.52</v>
      </c>
      <c r="M5" s="622">
        <f>K5*M8</f>
        <v>551058.53108611761</v>
      </c>
      <c r="N5" s="622">
        <f t="shared" si="0"/>
        <v>551058.53108611761</v>
      </c>
      <c r="O5" s="622">
        <f t="shared" si="0"/>
        <v>551058.53108611761</v>
      </c>
      <c r="P5" s="622">
        <f t="shared" si="0"/>
        <v>551058.53108611761</v>
      </c>
    </row>
    <row r="6" spans="1:18" ht="15.75">
      <c r="A6" s="621" t="s">
        <v>1245</v>
      </c>
      <c r="B6" s="622"/>
      <c r="C6" s="622"/>
      <c r="D6" s="622">
        <f>D8*E6/100</f>
        <v>32755784.929734997</v>
      </c>
      <c r="E6" s="622">
        <v>9.59</v>
      </c>
      <c r="F6" s="622">
        <f>B6+C6+D6</f>
        <v>32755784.929734997</v>
      </c>
      <c r="G6" s="623">
        <v>4.2999999999999997E-2</v>
      </c>
      <c r="H6" s="622">
        <v>374325.28</v>
      </c>
      <c r="I6" s="622"/>
      <c r="J6" s="622">
        <f>H6</f>
        <v>374325.28</v>
      </c>
      <c r="K6" s="804">
        <f>H6/$H$8</f>
        <v>2.2593310544179838E-3</v>
      </c>
      <c r="L6" s="622">
        <f>H6+I6/100*2</f>
        <v>374325.28</v>
      </c>
      <c r="M6" s="622">
        <f>K6*M8</f>
        <v>485433.77015840111</v>
      </c>
      <c r="N6" s="622">
        <f t="shared" si="0"/>
        <v>485433.77015840111</v>
      </c>
      <c r="O6" s="622">
        <f t="shared" si="0"/>
        <v>485433.77015840111</v>
      </c>
      <c r="P6" s="622">
        <f t="shared" si="0"/>
        <v>485433.77015840111</v>
      </c>
    </row>
    <row r="7" spans="1:18" ht="16.5" thickBot="1">
      <c r="A7" s="624" t="s">
        <v>1262</v>
      </c>
      <c r="B7" s="625"/>
      <c r="C7" s="625"/>
      <c r="D7" s="625">
        <f>D8*E7/100</f>
        <v>5294209.2430750001</v>
      </c>
      <c r="E7" s="625">
        <v>1.55</v>
      </c>
      <c r="F7" s="622">
        <f>B7+C7+D7</f>
        <v>5294209.2430750001</v>
      </c>
      <c r="G7" s="626">
        <v>1.2E-2</v>
      </c>
      <c r="H7" s="625">
        <f>139831.37+6084.93</f>
        <v>145916.29999999999</v>
      </c>
      <c r="I7" s="625"/>
      <c r="J7" s="622">
        <f>H7</f>
        <v>145916.29999999999</v>
      </c>
      <c r="K7" s="804">
        <f>H7/$H$8</f>
        <v>8.807132340507988E-4</v>
      </c>
      <c r="L7" s="622">
        <f>H7+I7/100*2</f>
        <v>145916.29999999999</v>
      </c>
      <c r="M7" s="622">
        <f>K7*M8</f>
        <v>189227.66754242269</v>
      </c>
      <c r="N7" s="622">
        <f t="shared" si="0"/>
        <v>189227.66754242269</v>
      </c>
      <c r="O7" s="622">
        <f t="shared" si="0"/>
        <v>189227.66754242269</v>
      </c>
      <c r="P7" s="622">
        <f t="shared" si="0"/>
        <v>189227.66754242269</v>
      </c>
    </row>
    <row r="8" spans="1:18" ht="16.5" thickBot="1">
      <c r="A8" s="627" t="s">
        <v>1263</v>
      </c>
      <c r="B8" s="628">
        <f>SUM(B3:B7)</f>
        <v>1685867570.45</v>
      </c>
      <c r="C8" s="628">
        <f>SUM(C3:C7)</f>
        <v>2907324296.52</v>
      </c>
      <c r="D8" s="628">
        <v>341561886.64999998</v>
      </c>
      <c r="E8" s="628">
        <f t="shared" ref="E8:L8" si="1">SUM(E3:E7)</f>
        <v>100</v>
      </c>
      <c r="F8" s="628">
        <f t="shared" si="1"/>
        <v>4934753753.6199999</v>
      </c>
      <c r="G8" s="629">
        <f t="shared" si="1"/>
        <v>1</v>
      </c>
      <c r="H8" s="628">
        <f t="shared" si="1"/>
        <v>165679695.00000003</v>
      </c>
      <c r="I8" s="628">
        <f t="shared" si="1"/>
        <v>5018529016.4799995</v>
      </c>
      <c r="J8" s="628">
        <f t="shared" si="1"/>
        <v>218864963.07432842</v>
      </c>
      <c r="K8" s="805">
        <f t="shared" si="1"/>
        <v>0.99999999999999989</v>
      </c>
      <c r="L8" s="628">
        <f t="shared" si="1"/>
        <v>266073938.01960003</v>
      </c>
      <c r="M8" s="628">
        <v>214857300</v>
      </c>
      <c r="N8" s="628">
        <f>SUM(N3:N7)</f>
        <v>214857299.99999997</v>
      </c>
      <c r="O8" s="628">
        <f>SUM(O3:O7)</f>
        <v>214857299.99999997</v>
      </c>
      <c r="P8" s="628">
        <f>SUM(P3:P7)</f>
        <v>214857299.99999997</v>
      </c>
    </row>
    <row r="9" spans="1:18">
      <c r="Q9" s="371"/>
    </row>
    <row r="10" spans="1:18" ht="15.75">
      <c r="H10" s="677"/>
      <c r="I10" s="678"/>
      <c r="J10" s="678"/>
      <c r="K10" s="678"/>
    </row>
    <row r="11" spans="1:18">
      <c r="A11" s="630" t="s">
        <v>1216</v>
      </c>
      <c r="B11" s="630"/>
      <c r="C11" s="630" t="s">
        <v>1264</v>
      </c>
      <c r="H11" s="678"/>
      <c r="I11" s="678"/>
      <c r="J11" s="701">
        <f>J3-H3</f>
        <v>8292983.3778000027</v>
      </c>
      <c r="K11" s="701"/>
      <c r="L11" s="702">
        <f>L3-H3</f>
        <v>16609629.445599996</v>
      </c>
      <c r="M11" s="702"/>
    </row>
    <row r="12" spans="1:18">
      <c r="A12" s="630"/>
      <c r="B12" s="630"/>
      <c r="C12" s="630"/>
      <c r="H12" s="678"/>
      <c r="I12" s="678"/>
      <c r="J12" s="701">
        <f>J4-H4</f>
        <v>44892284.69652839</v>
      </c>
      <c r="K12" s="701"/>
      <c r="L12" s="702">
        <f>L4-H4</f>
        <v>83784613.574000016</v>
      </c>
      <c r="M12" s="702"/>
    </row>
    <row r="13" spans="1:18" ht="21">
      <c r="I13" s="708"/>
      <c r="J13" s="710" t="e">
        <f>#REF!/100*2</f>
        <v>#REF!</v>
      </c>
    </row>
    <row r="14" spans="1:18" ht="21">
      <c r="I14" s="708"/>
      <c r="J14" s="710" t="e">
        <f>SUM(J13:J13)</f>
        <v>#REF!</v>
      </c>
    </row>
    <row r="15" spans="1:18" ht="21">
      <c r="I15" s="708" t="s">
        <v>1332</v>
      </c>
      <c r="J15" s="711" t="e">
        <f>J14/4</f>
        <v>#REF!</v>
      </c>
    </row>
    <row r="16" spans="1:18" ht="21">
      <c r="I16" s="708" t="s">
        <v>1333</v>
      </c>
      <c r="J16" s="711">
        <v>24000000</v>
      </c>
    </row>
    <row r="17" spans="9:10" ht="21">
      <c r="I17" s="708" t="s">
        <v>1263</v>
      </c>
      <c r="J17" s="712" t="e">
        <f>SUM(J15:J16)</f>
        <v>#REF!</v>
      </c>
    </row>
    <row r="18" spans="9:10" ht="21">
      <c r="I18" s="708" t="s">
        <v>1334</v>
      </c>
      <c r="J18" s="712">
        <v>45200000</v>
      </c>
    </row>
  </sheetData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I56" sqref="I56"/>
    </sheetView>
  </sheetViews>
  <sheetFormatPr defaultColWidth="8.85546875" defaultRowHeight="15"/>
  <cols>
    <col min="1" max="1" width="23" style="347" customWidth="1"/>
    <col min="2" max="2" width="20.140625" style="347" customWidth="1"/>
    <col min="3" max="3" width="19.7109375" style="347" customWidth="1"/>
    <col min="4" max="4" width="17.85546875" style="347" customWidth="1"/>
    <col min="5" max="5" width="13.42578125" style="347" hidden="1" customWidth="1"/>
    <col min="6" max="6" width="17.85546875" style="347" customWidth="1"/>
    <col min="7" max="7" width="11.28515625" style="347" customWidth="1"/>
    <col min="8" max="8" width="22" style="347" customWidth="1"/>
    <col min="9" max="9" width="19.85546875" style="347" customWidth="1"/>
    <col min="10" max="10" width="24.28515625" style="347" customWidth="1"/>
    <col min="11" max="11" width="18.28515625" style="347" customWidth="1"/>
    <col min="12" max="12" width="17.7109375" style="347" customWidth="1"/>
    <col min="13" max="13" width="18.42578125" style="347" customWidth="1"/>
    <col min="14" max="14" width="17.42578125" style="347" customWidth="1"/>
    <col min="15" max="15" width="17.85546875" style="347" customWidth="1"/>
    <col min="16" max="16" width="17.28515625" style="347" customWidth="1"/>
    <col min="17" max="16384" width="8.85546875" style="347"/>
  </cols>
  <sheetData>
    <row r="1" spans="1:16" ht="28.5" customHeight="1">
      <c r="A1" s="616" t="s">
        <v>1247</v>
      </c>
      <c r="B1" s="616"/>
      <c r="C1" s="616"/>
      <c r="D1" s="616"/>
      <c r="E1" s="616"/>
      <c r="F1" s="616"/>
      <c r="G1" s="616"/>
    </row>
    <row r="2" spans="1:16" ht="89.25" customHeight="1">
      <c r="A2" s="617" t="s">
        <v>1248</v>
      </c>
      <c r="B2" s="617" t="s">
        <v>1249</v>
      </c>
      <c r="C2" s="617" t="s">
        <v>1250</v>
      </c>
      <c r="D2" s="617" t="s">
        <v>1251</v>
      </c>
      <c r="E2" s="617" t="s">
        <v>1252</v>
      </c>
      <c r="F2" s="618" t="s">
        <v>1253</v>
      </c>
      <c r="G2" s="619" t="s">
        <v>1252</v>
      </c>
      <c r="H2" s="620" t="s">
        <v>1254</v>
      </c>
      <c r="I2" s="620" t="s">
        <v>1255</v>
      </c>
      <c r="J2" s="620" t="s">
        <v>1324</v>
      </c>
      <c r="K2" s="620" t="s">
        <v>1256</v>
      </c>
      <c r="L2" s="620" t="s">
        <v>1257</v>
      </c>
      <c r="M2" s="620" t="s">
        <v>1258</v>
      </c>
      <c r="N2" s="620" t="s">
        <v>1259</v>
      </c>
    </row>
    <row r="3" spans="1:16" ht="15.75">
      <c r="A3" s="621" t="s">
        <v>1260</v>
      </c>
      <c r="B3" s="622">
        <v>1685867570.45</v>
      </c>
      <c r="C3" s="622"/>
      <c r="D3" s="622">
        <f>D8*E3/100</f>
        <v>163027488.498045</v>
      </c>
      <c r="E3" s="622">
        <v>47.73</v>
      </c>
      <c r="F3" s="622">
        <f>B3+C3+D3</f>
        <v>1848895058.948045</v>
      </c>
      <c r="G3" s="623">
        <v>0.48099999999999998</v>
      </c>
      <c r="H3" s="622">
        <v>36893949.75</v>
      </c>
      <c r="I3" s="622">
        <v>829298337.77999997</v>
      </c>
      <c r="J3" s="622">
        <f>H3+I3/100*2/2</f>
        <v>45186933.127800003</v>
      </c>
      <c r="K3" s="622">
        <f>H3+I3/100*2</f>
        <v>53479916.505599998</v>
      </c>
      <c r="L3" s="622">
        <f>K3</f>
        <v>53479916.505599998</v>
      </c>
      <c r="M3" s="622">
        <f>L3</f>
        <v>53479916.505599998</v>
      </c>
      <c r="N3" s="622">
        <f>M3</f>
        <v>53479916.505599998</v>
      </c>
      <c r="O3" s="694">
        <f>I3/100*2/2</f>
        <v>8292983.3777999999</v>
      </c>
      <c r="P3" s="695">
        <f>O3*2</f>
        <v>16585966.7556</v>
      </c>
    </row>
    <row r="4" spans="1:16" ht="15.75">
      <c r="A4" s="621" t="s">
        <v>1261</v>
      </c>
      <c r="B4" s="622"/>
      <c r="C4" s="622">
        <v>2907324296.52</v>
      </c>
      <c r="D4" s="622">
        <f>D8*E4/100</f>
        <v>118726911.79953998</v>
      </c>
      <c r="E4" s="622">
        <v>34.76</v>
      </c>
      <c r="F4" s="622">
        <f>B4+C4+D4</f>
        <v>3026051208.31954</v>
      </c>
      <c r="G4" s="623">
        <v>0.34300000000000003</v>
      </c>
      <c r="H4" s="622">
        <v>60309309.960000001</v>
      </c>
      <c r="I4" s="622">
        <v>4189230678.6999998</v>
      </c>
      <c r="J4" s="622">
        <f>H4+I4/100*2/2</f>
        <v>102201616.74700001</v>
      </c>
      <c r="K4" s="622">
        <f>H4+I4/100*2</f>
        <v>144093923.53400001</v>
      </c>
      <c r="L4" s="622">
        <f t="shared" ref="L4:N7" si="0">K4</f>
        <v>144093923.53400001</v>
      </c>
      <c r="M4" s="622">
        <f t="shared" si="0"/>
        <v>144093923.53400001</v>
      </c>
      <c r="N4" s="622">
        <f t="shared" si="0"/>
        <v>144093923.53400001</v>
      </c>
      <c r="O4" s="694">
        <f>I4/100*2/2</f>
        <v>41892306.787</v>
      </c>
      <c r="P4" s="695">
        <f>O4*2</f>
        <v>83784613.574000001</v>
      </c>
    </row>
    <row r="5" spans="1:16" ht="15.75">
      <c r="A5" s="621" t="s">
        <v>862</v>
      </c>
      <c r="B5" s="622"/>
      <c r="C5" s="622"/>
      <c r="D5" s="622">
        <f>D8*E5/100</f>
        <v>21757492.179604996</v>
      </c>
      <c r="E5" s="622">
        <v>6.37</v>
      </c>
      <c r="F5" s="622">
        <f>B5+C5+D5</f>
        <v>21757492.179604996</v>
      </c>
      <c r="G5" s="623">
        <v>0.121</v>
      </c>
      <c r="H5" s="622">
        <v>393535.46</v>
      </c>
      <c r="I5" s="622"/>
      <c r="J5" s="622">
        <f>H5</f>
        <v>393535.46</v>
      </c>
      <c r="K5" s="622">
        <f>H5+I5/100*2</f>
        <v>393535.46</v>
      </c>
      <c r="L5" s="622">
        <f t="shared" si="0"/>
        <v>393535.46</v>
      </c>
      <c r="M5" s="622">
        <f t="shared" si="0"/>
        <v>393535.46</v>
      </c>
      <c r="N5" s="622">
        <f t="shared" si="0"/>
        <v>393535.46</v>
      </c>
    </row>
    <row r="6" spans="1:16" ht="15.75">
      <c r="A6" s="621" t="s">
        <v>1245</v>
      </c>
      <c r="B6" s="622"/>
      <c r="C6" s="622"/>
      <c r="D6" s="622">
        <f>D8*E6/100</f>
        <v>32755784.929734997</v>
      </c>
      <c r="E6" s="622">
        <v>9.59</v>
      </c>
      <c r="F6" s="622">
        <f>B6+C6+D6</f>
        <v>32755784.929734997</v>
      </c>
      <c r="G6" s="623">
        <v>4.2999999999999997E-2</v>
      </c>
      <c r="H6" s="622">
        <v>688687.06</v>
      </c>
      <c r="I6" s="622"/>
      <c r="J6" s="622">
        <f>H6</f>
        <v>688687.06</v>
      </c>
      <c r="K6" s="622">
        <f>H6+I6/100*2</f>
        <v>688687.06</v>
      </c>
      <c r="L6" s="622">
        <f t="shared" si="0"/>
        <v>688687.06</v>
      </c>
      <c r="M6" s="622">
        <f t="shared" si="0"/>
        <v>688687.06</v>
      </c>
      <c r="N6" s="622">
        <f t="shared" si="0"/>
        <v>688687.06</v>
      </c>
    </row>
    <row r="7" spans="1:16" ht="16.5" thickBot="1">
      <c r="A7" s="624" t="s">
        <v>1262</v>
      </c>
      <c r="B7" s="625"/>
      <c r="C7" s="625"/>
      <c r="D7" s="625">
        <f>D8*E7/100</f>
        <v>5294209.2430750001</v>
      </c>
      <c r="E7" s="625">
        <v>1.55</v>
      </c>
      <c r="F7" s="622">
        <f>B7+C7+D7</f>
        <v>5294209.2430750001</v>
      </c>
      <c r="G7" s="626">
        <v>1.2E-2</v>
      </c>
      <c r="H7" s="625">
        <v>98383.87</v>
      </c>
      <c r="I7" s="625"/>
      <c r="J7" s="622">
        <f>H7</f>
        <v>98383.87</v>
      </c>
      <c r="K7" s="622">
        <f>H7+I7/100*2</f>
        <v>98383.87</v>
      </c>
      <c r="L7" s="622">
        <f t="shared" si="0"/>
        <v>98383.87</v>
      </c>
      <c r="M7" s="622">
        <f t="shared" si="0"/>
        <v>98383.87</v>
      </c>
      <c r="N7" s="622">
        <f t="shared" si="0"/>
        <v>98383.87</v>
      </c>
    </row>
    <row r="8" spans="1:16" ht="16.5" thickBot="1">
      <c r="A8" s="627" t="s">
        <v>1263</v>
      </c>
      <c r="B8" s="628">
        <f>SUM(B3:B7)</f>
        <v>1685867570.45</v>
      </c>
      <c r="C8" s="628">
        <f>SUM(C3:C7)</f>
        <v>2907324296.52</v>
      </c>
      <c r="D8" s="628">
        <v>341561886.64999998</v>
      </c>
      <c r="E8" s="628">
        <f>SUM(E3:E7)</f>
        <v>100</v>
      </c>
      <c r="F8" s="628">
        <f>SUM(F3:F7)</f>
        <v>4934753753.6199999</v>
      </c>
      <c r="G8" s="629">
        <f>SUM(G3:G7)</f>
        <v>1</v>
      </c>
      <c r="H8" s="628">
        <f>SUM(H3:H7)</f>
        <v>98383866.100000009</v>
      </c>
      <c r="I8" s="628"/>
      <c r="J8" s="628">
        <f>SUM(J3:J7)</f>
        <v>148569156.26480004</v>
      </c>
      <c r="K8" s="628">
        <f>SUM(K3:K7)</f>
        <v>198754446.42960003</v>
      </c>
      <c r="L8" s="628">
        <f>SUM(L3:L7)</f>
        <v>198754446.42960003</v>
      </c>
      <c r="M8" s="628">
        <f>SUM(M3:M7)</f>
        <v>198754446.42960003</v>
      </c>
      <c r="N8" s="628">
        <f>SUM(N3:N7)</f>
        <v>198754446.42960003</v>
      </c>
      <c r="O8" s="347">
        <f>O9+O17+O22</f>
        <v>590363.75774170004</v>
      </c>
    </row>
    <row r="9" spans="1:16">
      <c r="O9" s="371">
        <f>'К ВС'!N322</f>
        <v>590363.75774170004</v>
      </c>
    </row>
    <row r="10" spans="1:16" ht="15.75">
      <c r="H10" s="677"/>
      <c r="I10" s="678"/>
      <c r="J10" s="678"/>
    </row>
    <row r="11" spans="1:16">
      <c r="A11" s="630" t="s">
        <v>1216</v>
      </c>
      <c r="B11" s="630"/>
      <c r="C11" s="630" t="s">
        <v>1264</v>
      </c>
      <c r="H11" s="678"/>
      <c r="I11" s="678"/>
      <c r="J11" s="701">
        <f>J3-H3</f>
        <v>8292983.3778000027</v>
      </c>
      <c r="K11" s="702">
        <f>K3-H3</f>
        <v>16585966.755599998</v>
      </c>
    </row>
    <row r="12" spans="1:16">
      <c r="A12" s="630"/>
      <c r="B12" s="630"/>
      <c r="C12" s="630"/>
      <c r="H12" s="678"/>
      <c r="I12" s="678"/>
      <c r="J12" s="701">
        <f>J4-H4</f>
        <v>41892306.787000008</v>
      </c>
      <c r="K12" s="702">
        <f>K4-H4</f>
        <v>83784613.574000001</v>
      </c>
    </row>
    <row r="13" spans="1:16" ht="15.75">
      <c r="A13" s="630"/>
      <c r="B13" s="630"/>
      <c r="C13" s="630"/>
      <c r="H13" s="678"/>
      <c r="I13" s="677"/>
      <c r="J13" s="678"/>
    </row>
    <row r="14" spans="1:16">
      <c r="H14" s="678"/>
      <c r="I14" s="678"/>
      <c r="J14" s="678"/>
    </row>
    <row r="15" spans="1:16" ht="18.75">
      <c r="A15" s="616" t="s">
        <v>1247</v>
      </c>
      <c r="B15" s="616"/>
      <c r="C15" s="616"/>
      <c r="D15" s="616"/>
      <c r="E15" s="616"/>
      <c r="F15" s="616"/>
      <c r="G15" s="616"/>
      <c r="H15" s="678"/>
      <c r="I15" s="678"/>
      <c r="J15" s="678"/>
    </row>
    <row r="16" spans="1:16" ht="18.75">
      <c r="A16" s="616" t="s">
        <v>1326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</row>
    <row r="17" spans="1:14" ht="18.75">
      <c r="A17" s="616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</row>
    <row r="18" spans="1:14" ht="100.5">
      <c r="A18" s="617" t="s">
        <v>1248</v>
      </c>
      <c r="B18" s="617" t="s">
        <v>1249</v>
      </c>
      <c r="C18" s="617" t="s">
        <v>1250</v>
      </c>
      <c r="D18" s="617" t="s">
        <v>1251</v>
      </c>
      <c r="E18" s="617" t="s">
        <v>1252</v>
      </c>
      <c r="F18" s="618" t="s">
        <v>1253</v>
      </c>
      <c r="G18" s="619" t="s">
        <v>1252</v>
      </c>
      <c r="H18" s="620" t="s">
        <v>1254</v>
      </c>
      <c r="I18" s="620" t="s">
        <v>1255</v>
      </c>
      <c r="J18" s="620" t="s">
        <v>1324</v>
      </c>
      <c r="K18" s="620" t="s">
        <v>1256</v>
      </c>
      <c r="L18" s="620" t="s">
        <v>1257</v>
      </c>
      <c r="M18" s="620" t="s">
        <v>1258</v>
      </c>
      <c r="N18" s="620" t="s">
        <v>1259</v>
      </c>
    </row>
    <row r="19" spans="1:14" ht="15.75">
      <c r="A19" s="621" t="s">
        <v>1260</v>
      </c>
      <c r="B19" s="622">
        <v>1685867570.45</v>
      </c>
      <c r="C19" s="622"/>
      <c r="D19" s="622">
        <f>D24*E19/100</f>
        <v>163027488.498045</v>
      </c>
      <c r="E19" s="622">
        <v>47.73</v>
      </c>
      <c r="F19" s="622">
        <f>B19+C19+D19</f>
        <v>1848895058.948045</v>
      </c>
      <c r="G19" s="623">
        <v>0.48099999999999998</v>
      </c>
      <c r="H19" s="622">
        <v>36893949.75</v>
      </c>
      <c r="I19" s="622">
        <v>883423144.5</v>
      </c>
      <c r="J19" s="622">
        <f>H19+I19/100*2/2</f>
        <v>45728181.195</v>
      </c>
      <c r="K19" s="622">
        <f>H19+I19/100*2</f>
        <v>54562412.640000001</v>
      </c>
      <c r="L19" s="622">
        <f t="shared" ref="L19:N23" si="1">K19</f>
        <v>54562412.640000001</v>
      </c>
      <c r="M19" s="622">
        <f t="shared" si="1"/>
        <v>54562412.640000001</v>
      </c>
      <c r="N19" s="622">
        <f t="shared" si="1"/>
        <v>54562412.640000001</v>
      </c>
    </row>
    <row r="20" spans="1:14" ht="15.75">
      <c r="A20" s="621" t="s">
        <v>1261</v>
      </c>
      <c r="B20" s="622"/>
      <c r="C20" s="622">
        <v>2907324296.52</v>
      </c>
      <c r="D20" s="622">
        <f>D24*E20/100</f>
        <v>118726911.79953998</v>
      </c>
      <c r="E20" s="622">
        <v>34.76</v>
      </c>
      <c r="F20" s="622">
        <f>B20+C20+D20</f>
        <v>3026051208.31954</v>
      </c>
      <c r="G20" s="623">
        <v>0.34300000000000003</v>
      </c>
      <c r="H20" s="622">
        <v>60309309.960000001</v>
      </c>
      <c r="I20" s="622">
        <v>4537587815.2700005</v>
      </c>
      <c r="J20" s="622">
        <f>H20+I20/100*2/2</f>
        <v>105685188.11270002</v>
      </c>
      <c r="K20" s="622">
        <f>H20+I20/100*2</f>
        <v>151061066.26540002</v>
      </c>
      <c r="L20" s="622">
        <f t="shared" si="1"/>
        <v>151061066.26540002</v>
      </c>
      <c r="M20" s="622">
        <f t="shared" si="1"/>
        <v>151061066.26540002</v>
      </c>
      <c r="N20" s="622">
        <f t="shared" si="1"/>
        <v>151061066.26540002</v>
      </c>
    </row>
    <row r="21" spans="1:14" ht="15.75">
      <c r="A21" s="621" t="s">
        <v>862</v>
      </c>
      <c r="B21" s="622"/>
      <c r="C21" s="622"/>
      <c r="D21" s="622">
        <f>D24*E21/100</f>
        <v>21757492.179604996</v>
      </c>
      <c r="E21" s="622">
        <v>6.37</v>
      </c>
      <c r="F21" s="622">
        <f>B21+C21+D21</f>
        <v>21757492.179604996</v>
      </c>
      <c r="G21" s="623">
        <v>0.121</v>
      </c>
      <c r="H21" s="622">
        <v>393535.46</v>
      </c>
      <c r="I21" s="622"/>
      <c r="J21" s="622">
        <f>H21</f>
        <v>393535.46</v>
      </c>
      <c r="K21" s="622">
        <f>H21+I21/100*2</f>
        <v>393535.46</v>
      </c>
      <c r="L21" s="622">
        <f t="shared" si="1"/>
        <v>393535.46</v>
      </c>
      <c r="M21" s="622">
        <f t="shared" si="1"/>
        <v>393535.46</v>
      </c>
      <c r="N21" s="622">
        <f t="shared" si="1"/>
        <v>393535.46</v>
      </c>
    </row>
    <row r="22" spans="1:14" ht="15.75">
      <c r="A22" s="621" t="s">
        <v>1245</v>
      </c>
      <c r="B22" s="622"/>
      <c r="C22" s="622"/>
      <c r="D22" s="622">
        <f>D24*E22/100</f>
        <v>32755784.929734997</v>
      </c>
      <c r="E22" s="622">
        <v>9.59</v>
      </c>
      <c r="F22" s="622">
        <f>B22+C22+D22</f>
        <v>32755784.929734997</v>
      </c>
      <c r="G22" s="623">
        <v>4.2999999999999997E-2</v>
      </c>
      <c r="H22" s="622">
        <v>688687.06</v>
      </c>
      <c r="I22" s="622"/>
      <c r="J22" s="622">
        <f>H22</f>
        <v>688687.06</v>
      </c>
      <c r="K22" s="622">
        <f>H22+I22/100*2</f>
        <v>688687.06</v>
      </c>
      <c r="L22" s="622">
        <f t="shared" si="1"/>
        <v>688687.06</v>
      </c>
      <c r="M22" s="622">
        <f t="shared" si="1"/>
        <v>688687.06</v>
      </c>
      <c r="N22" s="622">
        <f t="shared" si="1"/>
        <v>688687.06</v>
      </c>
    </row>
    <row r="23" spans="1:14" ht="16.5" thickBot="1">
      <c r="A23" s="624" t="s">
        <v>1262</v>
      </c>
      <c r="B23" s="625"/>
      <c r="C23" s="625"/>
      <c r="D23" s="625">
        <f>D24*E23/100</f>
        <v>5294209.2430750001</v>
      </c>
      <c r="E23" s="625">
        <v>1.55</v>
      </c>
      <c r="F23" s="622">
        <f>B23+C23+D23</f>
        <v>5294209.2430750001</v>
      </c>
      <c r="G23" s="626">
        <v>1.2E-2</v>
      </c>
      <c r="H23" s="625">
        <v>98383.87</v>
      </c>
      <c r="I23" s="625"/>
      <c r="J23" s="622">
        <f>H23</f>
        <v>98383.87</v>
      </c>
      <c r="K23" s="622">
        <f>H23+I23/100*2</f>
        <v>98383.87</v>
      </c>
      <c r="L23" s="622">
        <f t="shared" si="1"/>
        <v>98383.87</v>
      </c>
      <c r="M23" s="622">
        <f t="shared" si="1"/>
        <v>98383.87</v>
      </c>
      <c r="N23" s="622">
        <f t="shared" si="1"/>
        <v>98383.87</v>
      </c>
    </row>
    <row r="24" spans="1:14" ht="16.5" thickBot="1">
      <c r="A24" s="627" t="s">
        <v>1263</v>
      </c>
      <c r="B24" s="628">
        <f>SUM(B19:B23)</f>
        <v>1685867570.45</v>
      </c>
      <c r="C24" s="628">
        <f>SUM(C19:C23)</f>
        <v>2907324296.52</v>
      </c>
      <c r="D24" s="628">
        <v>341561886.64999998</v>
      </c>
      <c r="E24" s="628">
        <f>SUM(E19:E23)</f>
        <v>100</v>
      </c>
      <c r="F24" s="628">
        <f>SUM(F19:F23)</f>
        <v>4934753753.6199999</v>
      </c>
      <c r="G24" s="629">
        <f>SUM(G19:G23)</f>
        <v>1</v>
      </c>
      <c r="H24" s="628">
        <f>SUM(H19:H23)</f>
        <v>98383866.100000009</v>
      </c>
      <c r="I24" s="628"/>
      <c r="J24" s="628">
        <f>SUM(J19:J23)</f>
        <v>152593975.69770002</v>
      </c>
      <c r="K24" s="628">
        <f>SUM(K19:K23)</f>
        <v>206804085.29540005</v>
      </c>
      <c r="L24" s="628">
        <f>SUM(L19:L23)</f>
        <v>206804085.29540005</v>
      </c>
      <c r="M24" s="628">
        <f>SUM(M19:M23)</f>
        <v>206804085.29540005</v>
      </c>
      <c r="N24" s="628">
        <f>SUM(N19:N23)</f>
        <v>206804085.29540005</v>
      </c>
    </row>
    <row r="25" spans="1:14" ht="18.75">
      <c r="A25" s="616"/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</row>
    <row r="26" spans="1:14" ht="18.75">
      <c r="A26" s="616"/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</row>
    <row r="27" spans="1:14">
      <c r="A27" s="630" t="s">
        <v>1216</v>
      </c>
      <c r="B27" s="630"/>
      <c r="C27" s="630" t="s">
        <v>1264</v>
      </c>
    </row>
  </sheetData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4"/>
  <sheetViews>
    <sheetView workbookViewId="0">
      <selection activeCell="L9" sqref="L9"/>
    </sheetView>
  </sheetViews>
  <sheetFormatPr defaultColWidth="9.140625" defaultRowHeight="15"/>
  <cols>
    <col min="1" max="1" width="50.5703125" style="347" customWidth="1"/>
    <col min="2" max="2" width="13.7109375" style="347" customWidth="1"/>
    <col min="3" max="4" width="12.28515625" style="347" customWidth="1"/>
    <col min="5" max="7" width="15.7109375" style="347" customWidth="1"/>
    <col min="8" max="16384" width="9.140625" style="347"/>
  </cols>
  <sheetData>
    <row r="1" spans="1:9">
      <c r="A1" s="1454" t="s">
        <v>1768</v>
      </c>
      <c r="B1" s="1454"/>
      <c r="C1" s="1454"/>
      <c r="D1" s="1454"/>
      <c r="E1" s="1454"/>
      <c r="F1" s="1454"/>
      <c r="G1" s="1454"/>
    </row>
    <row r="2" spans="1:9" ht="15.75" thickBot="1">
      <c r="A2" s="630"/>
      <c r="B2" s="630"/>
      <c r="C2" s="630"/>
      <c r="D2" s="630"/>
      <c r="E2" s="630"/>
      <c r="F2" s="630"/>
      <c r="G2" s="1455" t="s">
        <v>1140</v>
      </c>
    </row>
    <row r="3" spans="1:9" ht="46.15" customHeight="1" thickBot="1">
      <c r="A3" s="1456" t="s">
        <v>1769</v>
      </c>
      <c r="B3" s="1457" t="s">
        <v>1770</v>
      </c>
      <c r="C3" s="1458" t="s">
        <v>1771</v>
      </c>
      <c r="D3" s="1459" t="s">
        <v>1772</v>
      </c>
      <c r="E3" s="1457" t="s">
        <v>1773</v>
      </c>
      <c r="F3" s="1458" t="s">
        <v>1774</v>
      </c>
      <c r="G3" s="1459" t="s">
        <v>1775</v>
      </c>
      <c r="H3" s="1460"/>
    </row>
    <row r="4" spans="1:9" ht="19.899999999999999" customHeight="1">
      <c r="A4" s="1461" t="s">
        <v>894</v>
      </c>
      <c r="B4" s="1462"/>
      <c r="C4" s="1463"/>
      <c r="D4" s="1464"/>
      <c r="E4" s="1465">
        <v>107559.15</v>
      </c>
      <c r="F4" s="1466">
        <v>125321.7</v>
      </c>
      <c r="G4" s="1467">
        <f t="shared" ref="G4:G9" si="0">F4-E4</f>
        <v>17762.550000000003</v>
      </c>
      <c r="H4" s="1460" t="s">
        <v>1776</v>
      </c>
    </row>
    <row r="5" spans="1:9" ht="31.15" customHeight="1">
      <c r="A5" s="1468" t="s">
        <v>1777</v>
      </c>
      <c r="B5" s="1469"/>
      <c r="C5" s="1470"/>
      <c r="D5" s="1471"/>
      <c r="E5" s="1472">
        <v>227068.73</v>
      </c>
      <c r="F5" s="1473">
        <v>272840.13</v>
      </c>
      <c r="G5" s="1474">
        <f t="shared" si="0"/>
        <v>45771.399999999994</v>
      </c>
      <c r="H5" s="1460" t="s">
        <v>1776</v>
      </c>
    </row>
    <row r="6" spans="1:9" ht="19.899999999999999" customHeight="1">
      <c r="A6" s="1468" t="s">
        <v>1128</v>
      </c>
      <c r="B6" s="1469"/>
      <c r="C6" s="1470"/>
      <c r="D6" s="1471"/>
      <c r="E6" s="1472">
        <v>12228.94</v>
      </c>
      <c r="F6" s="1473">
        <v>41285.83</v>
      </c>
      <c r="G6" s="1474">
        <f t="shared" si="0"/>
        <v>29056.89</v>
      </c>
      <c r="H6" s="1460" t="s">
        <v>1776</v>
      </c>
    </row>
    <row r="7" spans="1:9" ht="19.899999999999999" customHeight="1">
      <c r="A7" s="1468" t="s">
        <v>1778</v>
      </c>
      <c r="B7" s="1469"/>
      <c r="C7" s="1470"/>
      <c r="D7" s="1471"/>
      <c r="E7" s="1472">
        <v>0</v>
      </c>
      <c r="F7" s="1473">
        <v>8553.9</v>
      </c>
      <c r="G7" s="1474">
        <f t="shared" si="0"/>
        <v>8553.9</v>
      </c>
      <c r="H7" s="1460" t="s">
        <v>1776</v>
      </c>
    </row>
    <row r="8" spans="1:9" ht="31.9" customHeight="1">
      <c r="A8" s="1468" t="s">
        <v>1779</v>
      </c>
      <c r="B8" s="1469"/>
      <c r="C8" s="1470"/>
      <c r="D8" s="1471"/>
      <c r="E8" s="1472">
        <v>32961.370000000003</v>
      </c>
      <c r="F8" s="1473">
        <v>37229.67</v>
      </c>
      <c r="G8" s="1474">
        <f t="shared" si="0"/>
        <v>4268.2999999999956</v>
      </c>
      <c r="H8" s="1460" t="s">
        <v>1776</v>
      </c>
    </row>
    <row r="9" spans="1:9" ht="19.899999999999999" customHeight="1" thickBot="1">
      <c r="A9" s="1475" t="s">
        <v>185</v>
      </c>
      <c r="B9" s="1476"/>
      <c r="C9" s="1477"/>
      <c r="D9" s="1478"/>
      <c r="E9" s="1479">
        <v>2830.17</v>
      </c>
      <c r="F9" s="1480">
        <v>4051.8</v>
      </c>
      <c r="G9" s="1481">
        <f t="shared" si="0"/>
        <v>1221.6300000000001</v>
      </c>
      <c r="H9" s="1460" t="s">
        <v>1776</v>
      </c>
    </row>
    <row r="10" spans="1:9" ht="19.899999999999999" customHeight="1" thickBot="1">
      <c r="A10" s="1482" t="s">
        <v>1780</v>
      </c>
      <c r="B10" s="1483">
        <v>827251.26</v>
      </c>
      <c r="C10" s="1484">
        <v>868321.69299999997</v>
      </c>
      <c r="D10" s="1485">
        <f>B10-C10</f>
        <v>-41070.432999999961</v>
      </c>
      <c r="E10" s="1486">
        <f>SUM(E4:E9)</f>
        <v>382648.36</v>
      </c>
      <c r="F10" s="1487">
        <f>SUM(F4:F9)</f>
        <v>489283.03</v>
      </c>
      <c r="G10" s="1485">
        <f>SUM(G4:G9)</f>
        <v>106634.66999999998</v>
      </c>
      <c r="H10" s="1492">
        <f>'Расчёт ВС методом индексации'!S42</f>
        <v>30227.83</v>
      </c>
      <c r="I10" s="1493">
        <f>G10-H10</f>
        <v>76406.839999999982</v>
      </c>
    </row>
    <row r="11" spans="1:9" ht="19.899999999999999" customHeight="1">
      <c r="A11" s="1454" t="s">
        <v>1781</v>
      </c>
      <c r="B11" s="1454"/>
      <c r="C11" s="1454"/>
      <c r="D11" s="1454"/>
      <c r="E11" s="1454"/>
      <c r="F11" s="1454"/>
      <c r="G11" s="1454"/>
      <c r="H11" s="1505" t="s">
        <v>1788</v>
      </c>
    </row>
    <row r="12" spans="1:9" ht="19.899999999999999" customHeight="1" thickBot="1">
      <c r="A12" s="630"/>
      <c r="B12" s="630"/>
      <c r="C12" s="630"/>
      <c r="D12" s="630"/>
      <c r="E12" s="630"/>
      <c r="F12" s="630"/>
      <c r="G12" s="1455" t="s">
        <v>1140</v>
      </c>
    </row>
    <row r="13" spans="1:9" ht="46.15" customHeight="1" thickBot="1">
      <c r="A13" s="1456" t="s">
        <v>1769</v>
      </c>
      <c r="B13" s="1457" t="s">
        <v>1770</v>
      </c>
      <c r="C13" s="1458" t="s">
        <v>1771</v>
      </c>
      <c r="D13" s="1459" t="s">
        <v>1772</v>
      </c>
      <c r="E13" s="1457" t="s">
        <v>1773</v>
      </c>
      <c r="F13" s="1458" t="s">
        <v>1774</v>
      </c>
      <c r="G13" s="1459" t="s">
        <v>1775</v>
      </c>
    </row>
    <row r="14" spans="1:9" ht="19.899999999999999" customHeight="1">
      <c r="A14" s="1461" t="s">
        <v>894</v>
      </c>
      <c r="B14" s="1462"/>
      <c r="C14" s="1463"/>
      <c r="D14" s="1464"/>
      <c r="E14" s="1465">
        <v>7445.2</v>
      </c>
      <c r="F14" s="1466">
        <v>55665.15</v>
      </c>
      <c r="G14" s="1467">
        <f t="shared" ref="G14:G22" si="1">F14-E14</f>
        <v>48219.950000000004</v>
      </c>
      <c r="H14" s="1460" t="s">
        <v>1776</v>
      </c>
    </row>
    <row r="15" spans="1:9" ht="31.9" customHeight="1">
      <c r="A15" s="1468" t="s">
        <v>1777</v>
      </c>
      <c r="B15" s="1469"/>
      <c r="C15" s="1470"/>
      <c r="D15" s="1471"/>
      <c r="E15" s="1472">
        <v>157793.59</v>
      </c>
      <c r="F15" s="1473">
        <v>201903.52</v>
      </c>
      <c r="G15" s="1474">
        <f t="shared" si="1"/>
        <v>44109.929999999993</v>
      </c>
      <c r="H15" s="1460" t="s">
        <v>1776</v>
      </c>
    </row>
    <row r="16" spans="1:9" ht="19.899999999999999" customHeight="1">
      <c r="A16" s="1468" t="s">
        <v>185</v>
      </c>
      <c r="B16" s="1469"/>
      <c r="C16" s="1470"/>
      <c r="D16" s="1471"/>
      <c r="E16" s="1472">
        <f>1747.85</f>
        <v>1747.85</v>
      </c>
      <c r="F16" s="1473">
        <v>3571.02</v>
      </c>
      <c r="G16" s="1474">
        <f t="shared" si="1"/>
        <v>1823.17</v>
      </c>
      <c r="H16" s="1460" t="s">
        <v>1776</v>
      </c>
    </row>
    <row r="17" spans="1:8" ht="19.899999999999999" customHeight="1">
      <c r="A17" s="1468" t="s">
        <v>1128</v>
      </c>
      <c r="B17" s="1469"/>
      <c r="C17" s="1470"/>
      <c r="D17" s="1471"/>
      <c r="E17" s="1472">
        <v>0</v>
      </c>
      <c r="F17" s="1473">
        <v>13739.13</v>
      </c>
      <c r="G17" s="1474">
        <f t="shared" si="1"/>
        <v>13739.13</v>
      </c>
      <c r="H17" s="1460" t="s">
        <v>1776</v>
      </c>
    </row>
    <row r="18" spans="1:8" ht="19.899999999999999" customHeight="1">
      <c r="A18" s="1468" t="s">
        <v>1778</v>
      </c>
      <c r="B18" s="1469"/>
      <c r="C18" s="1470"/>
      <c r="D18" s="1471"/>
      <c r="E18" s="1472">
        <v>0</v>
      </c>
      <c r="F18" s="1473">
        <v>8218.44</v>
      </c>
      <c r="G18" s="1474">
        <f t="shared" si="1"/>
        <v>8218.44</v>
      </c>
      <c r="H18" s="1460" t="s">
        <v>1776</v>
      </c>
    </row>
    <row r="19" spans="1:8" ht="19.899999999999999" customHeight="1">
      <c r="A19" s="1468" t="s">
        <v>1782</v>
      </c>
      <c r="B19" s="1469"/>
      <c r="C19" s="1470"/>
      <c r="D19" s="1471"/>
      <c r="E19" s="1472">
        <v>9361.74</v>
      </c>
      <c r="F19" s="1473">
        <v>29251.94</v>
      </c>
      <c r="G19" s="1474">
        <f t="shared" si="1"/>
        <v>19890.199999999997</v>
      </c>
      <c r="H19" s="1460" t="s">
        <v>1776</v>
      </c>
    </row>
    <row r="20" spans="1:8" ht="31.15" customHeight="1">
      <c r="A20" s="1468" t="s">
        <v>1783</v>
      </c>
      <c r="B20" s="1469"/>
      <c r="C20" s="1470"/>
      <c r="D20" s="1471"/>
      <c r="E20" s="1472">
        <v>19905.63</v>
      </c>
      <c r="F20" s="1473">
        <v>27109.73</v>
      </c>
      <c r="G20" s="1474">
        <f t="shared" si="1"/>
        <v>7204.0999999999985</v>
      </c>
      <c r="H20" s="1460" t="s">
        <v>1776</v>
      </c>
    </row>
    <row r="21" spans="1:8" ht="19.899999999999999" customHeight="1">
      <c r="A21" s="1468" t="s">
        <v>1784</v>
      </c>
      <c r="B21" s="1469"/>
      <c r="C21" s="1470"/>
      <c r="D21" s="1471"/>
      <c r="E21" s="1472">
        <v>661.49</v>
      </c>
      <c r="F21" s="1473">
        <v>1568.29</v>
      </c>
      <c r="G21" s="1474">
        <f t="shared" si="1"/>
        <v>906.8</v>
      </c>
      <c r="H21" s="1460" t="s">
        <v>1776</v>
      </c>
    </row>
    <row r="22" spans="1:8" ht="19.899999999999999" customHeight="1" thickBot="1">
      <c r="A22" s="1475" t="s">
        <v>1785</v>
      </c>
      <c r="B22" s="1476"/>
      <c r="C22" s="1477"/>
      <c r="D22" s="1478"/>
      <c r="E22" s="1479">
        <v>4295.92</v>
      </c>
      <c r="F22" s="1480">
        <v>8310.73</v>
      </c>
      <c r="G22" s="1481">
        <f t="shared" si="1"/>
        <v>4014.8099999999995</v>
      </c>
      <c r="H22" s="1488" t="s">
        <v>1786</v>
      </c>
    </row>
    <row r="23" spans="1:8" ht="19.899999999999999" customHeight="1" thickBot="1">
      <c r="A23" s="1489" t="s">
        <v>1780</v>
      </c>
      <c r="B23" s="1483">
        <v>845387.41</v>
      </c>
      <c r="C23" s="1484">
        <v>551536.91700000002</v>
      </c>
      <c r="D23" s="1485">
        <f>B23-C23</f>
        <v>293850.49300000002</v>
      </c>
      <c r="E23" s="1486">
        <f>SUM(E14:E22)</f>
        <v>201211.42</v>
      </c>
      <c r="F23" s="1487">
        <f>SUM(F14:F22)</f>
        <v>349337.9499999999</v>
      </c>
      <c r="G23" s="1485">
        <f>SUM(G14:G22)</f>
        <v>148126.53</v>
      </c>
    </row>
    <row r="24" spans="1:8" ht="19.899999999999999" customHeight="1">
      <c r="D24" s="1490">
        <f>D10+D23</f>
        <v>252780.06000000006</v>
      </c>
      <c r="E24" s="1491" t="s">
        <v>1787</v>
      </c>
      <c r="G24" s="1490">
        <f>G10+G23</f>
        <v>254761.19999999998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I56" sqref="I56"/>
    </sheetView>
  </sheetViews>
  <sheetFormatPr defaultColWidth="8.85546875" defaultRowHeight="15"/>
  <cols>
    <col min="1" max="1" width="23" style="347" customWidth="1"/>
    <col min="2" max="2" width="20.140625" style="347" customWidth="1"/>
    <col min="3" max="3" width="19.7109375" style="347" customWidth="1"/>
    <col min="4" max="4" width="17.85546875" style="347" customWidth="1"/>
    <col min="5" max="5" width="13.42578125" style="347" hidden="1" customWidth="1"/>
    <col min="6" max="6" width="17.85546875" style="347" customWidth="1"/>
    <col min="7" max="7" width="11.28515625" style="347" customWidth="1"/>
    <col min="8" max="8" width="22" style="347" customWidth="1"/>
    <col min="9" max="9" width="19.85546875" style="347" customWidth="1"/>
    <col min="10" max="10" width="25.7109375" style="347" customWidth="1"/>
    <col min="11" max="11" width="18.28515625" style="347" customWidth="1"/>
    <col min="12" max="12" width="17.7109375" style="347" customWidth="1"/>
    <col min="13" max="13" width="18.42578125" style="347" customWidth="1"/>
    <col min="14" max="14" width="17.42578125" style="347" customWidth="1"/>
    <col min="15" max="15" width="17.85546875" style="347" customWidth="1"/>
    <col min="16" max="16" width="17.28515625" style="347" customWidth="1"/>
    <col min="17" max="16384" width="8.85546875" style="347"/>
  </cols>
  <sheetData>
    <row r="1" spans="1:16" ht="28.5" customHeight="1">
      <c r="A1" s="616" t="s">
        <v>1247</v>
      </c>
      <c r="B1" s="616"/>
      <c r="C1" s="616"/>
      <c r="D1" s="616"/>
      <c r="E1" s="616"/>
      <c r="F1" s="616"/>
      <c r="G1" s="616"/>
    </row>
    <row r="2" spans="1:16" ht="89.25" customHeight="1">
      <c r="A2" s="617" t="s">
        <v>1248</v>
      </c>
      <c r="B2" s="617" t="s">
        <v>1249</v>
      </c>
      <c r="C2" s="617" t="s">
        <v>1250</v>
      </c>
      <c r="D2" s="617" t="s">
        <v>1251</v>
      </c>
      <c r="E2" s="617" t="s">
        <v>1252</v>
      </c>
      <c r="F2" s="618" t="s">
        <v>1253</v>
      </c>
      <c r="G2" s="619" t="s">
        <v>1252</v>
      </c>
      <c r="H2" s="620" t="s">
        <v>1254</v>
      </c>
      <c r="I2" s="620" t="s">
        <v>1255</v>
      </c>
      <c r="J2" s="620" t="s">
        <v>1324</v>
      </c>
      <c r="K2" s="620" t="s">
        <v>1330</v>
      </c>
      <c r="L2" s="620" t="s">
        <v>1257</v>
      </c>
      <c r="M2" s="620" t="s">
        <v>1258</v>
      </c>
      <c r="N2" s="620" t="s">
        <v>1259</v>
      </c>
    </row>
    <row r="3" spans="1:16" ht="15.75">
      <c r="A3" s="621" t="s">
        <v>1260</v>
      </c>
      <c r="B3" s="622">
        <v>1685867570.45</v>
      </c>
      <c r="C3" s="622"/>
      <c r="D3" s="622">
        <f>D8*E3/100</f>
        <v>163027488.498045</v>
      </c>
      <c r="E3" s="622">
        <v>47.73</v>
      </c>
      <c r="F3" s="622">
        <f>B3+C3+D3</f>
        <v>1848895058.948045</v>
      </c>
      <c r="G3" s="623">
        <v>0.48099999999999998</v>
      </c>
      <c r="H3" s="622">
        <v>36893949.75</v>
      </c>
      <c r="I3" s="622">
        <v>829298337.77999997</v>
      </c>
      <c r="J3" s="622">
        <f>H3+I3/100*2/2</f>
        <v>45186933.127800003</v>
      </c>
      <c r="K3" s="622">
        <f>H3+I3/100*2+23662.69</f>
        <v>53503579.195599996</v>
      </c>
      <c r="L3" s="622">
        <f>K3</f>
        <v>53503579.195599996</v>
      </c>
      <c r="M3" s="622">
        <f>L3</f>
        <v>53503579.195599996</v>
      </c>
      <c r="N3" s="622">
        <f>M3</f>
        <v>53503579.195599996</v>
      </c>
      <c r="O3" s="694">
        <f>I3/100*2/2</f>
        <v>8292983.3777999999</v>
      </c>
      <c r="P3" s="695">
        <f>O3*2</f>
        <v>16585966.7556</v>
      </c>
    </row>
    <row r="4" spans="1:16" ht="15.75">
      <c r="A4" s="621" t="s">
        <v>1261</v>
      </c>
      <c r="B4" s="622"/>
      <c r="C4" s="622">
        <v>2907324296.52</v>
      </c>
      <c r="D4" s="622">
        <f>D8*E4/100</f>
        <v>118726911.79953998</v>
      </c>
      <c r="E4" s="622">
        <v>34.76</v>
      </c>
      <c r="F4" s="622">
        <f>B4+C4+D4</f>
        <v>3026051208.31954</v>
      </c>
      <c r="G4" s="623">
        <v>0.34300000000000003</v>
      </c>
      <c r="H4" s="622">
        <v>60309309.960000001</v>
      </c>
      <c r="I4" s="622">
        <v>4189230678.6999998</v>
      </c>
      <c r="J4" s="622">
        <f>H4+I4/100*2/12*6.42967</f>
        <v>105201594.65652838</v>
      </c>
      <c r="K4" s="622">
        <f>H4+I4/100*2</f>
        <v>144093923.53400001</v>
      </c>
      <c r="L4" s="622">
        <f t="shared" ref="L4:N7" si="0">K4</f>
        <v>144093923.53400001</v>
      </c>
      <c r="M4" s="622">
        <f t="shared" si="0"/>
        <v>144093923.53400001</v>
      </c>
      <c r="N4" s="622">
        <f t="shared" si="0"/>
        <v>144093923.53400001</v>
      </c>
      <c r="O4" s="694">
        <f>I4/100*2/2</f>
        <v>41892306.787</v>
      </c>
      <c r="P4" s="695">
        <f>O4*2</f>
        <v>83784613.574000001</v>
      </c>
    </row>
    <row r="5" spans="1:16" ht="15.75">
      <c r="A5" s="621" t="s">
        <v>862</v>
      </c>
      <c r="B5" s="622"/>
      <c r="C5" s="622"/>
      <c r="D5" s="622">
        <f>D8*E5/100</f>
        <v>21757492.179604996</v>
      </c>
      <c r="E5" s="622">
        <v>6.37</v>
      </c>
      <c r="F5" s="622">
        <f>B5+C5+D5</f>
        <v>21757492.179604996</v>
      </c>
      <c r="G5" s="623">
        <v>0.121</v>
      </c>
      <c r="H5" s="622">
        <v>393535.46</v>
      </c>
      <c r="I5" s="622"/>
      <c r="J5" s="622">
        <f>H5</f>
        <v>393535.46</v>
      </c>
      <c r="K5" s="622">
        <f>H5+I5/100*2</f>
        <v>393535.46</v>
      </c>
      <c r="L5" s="622">
        <f t="shared" si="0"/>
        <v>393535.46</v>
      </c>
      <c r="M5" s="622">
        <f t="shared" si="0"/>
        <v>393535.46</v>
      </c>
      <c r="N5" s="622">
        <f t="shared" si="0"/>
        <v>393535.46</v>
      </c>
    </row>
    <row r="6" spans="1:16" ht="15.75">
      <c r="A6" s="621" t="s">
        <v>1245</v>
      </c>
      <c r="B6" s="622"/>
      <c r="C6" s="622"/>
      <c r="D6" s="622">
        <f>D8*E6/100</f>
        <v>32755784.929734997</v>
      </c>
      <c r="E6" s="622">
        <v>9.59</v>
      </c>
      <c r="F6" s="622">
        <f>B6+C6+D6</f>
        <v>32755784.929734997</v>
      </c>
      <c r="G6" s="623">
        <v>4.2999999999999997E-2</v>
      </c>
      <c r="H6" s="622">
        <v>688687.06</v>
      </c>
      <c r="I6" s="622"/>
      <c r="J6" s="622">
        <f>H6</f>
        <v>688687.06</v>
      </c>
      <c r="K6" s="622">
        <f>H6+I6/100*2</f>
        <v>688687.06</v>
      </c>
      <c r="L6" s="622">
        <f t="shared" si="0"/>
        <v>688687.06</v>
      </c>
      <c r="M6" s="622">
        <f t="shared" si="0"/>
        <v>688687.06</v>
      </c>
      <c r="N6" s="622">
        <f t="shared" si="0"/>
        <v>688687.06</v>
      </c>
    </row>
    <row r="7" spans="1:16" ht="16.5" thickBot="1">
      <c r="A7" s="624" t="s">
        <v>1262</v>
      </c>
      <c r="B7" s="625"/>
      <c r="C7" s="625"/>
      <c r="D7" s="625">
        <f>D8*E7/100</f>
        <v>5294209.2430750001</v>
      </c>
      <c r="E7" s="625">
        <v>1.55</v>
      </c>
      <c r="F7" s="622">
        <f>B7+C7+D7</f>
        <v>5294209.2430750001</v>
      </c>
      <c r="G7" s="626">
        <v>1.2E-2</v>
      </c>
      <c r="H7" s="625">
        <v>98383.87</v>
      </c>
      <c r="I7" s="625"/>
      <c r="J7" s="622">
        <f>H7</f>
        <v>98383.87</v>
      </c>
      <c r="K7" s="622">
        <f>H7+I7/100*2</f>
        <v>98383.87</v>
      </c>
      <c r="L7" s="622">
        <f t="shared" si="0"/>
        <v>98383.87</v>
      </c>
      <c r="M7" s="622">
        <f t="shared" si="0"/>
        <v>98383.87</v>
      </c>
      <c r="N7" s="622">
        <f t="shared" si="0"/>
        <v>98383.87</v>
      </c>
    </row>
    <row r="8" spans="1:16" ht="16.5" thickBot="1">
      <c r="A8" s="627" t="s">
        <v>1263</v>
      </c>
      <c r="B8" s="628">
        <f>SUM(B3:B7)</f>
        <v>1685867570.45</v>
      </c>
      <c r="C8" s="628">
        <f>SUM(C3:C7)</f>
        <v>2907324296.52</v>
      </c>
      <c r="D8" s="628">
        <v>341561886.64999998</v>
      </c>
      <c r="E8" s="628">
        <f>SUM(E3:E7)</f>
        <v>100</v>
      </c>
      <c r="F8" s="628">
        <f>SUM(F3:F7)</f>
        <v>4934753753.6199999</v>
      </c>
      <c r="G8" s="629">
        <f>SUM(G3:G7)</f>
        <v>1</v>
      </c>
      <c r="H8" s="628">
        <f>SUM(H3:H7)</f>
        <v>98383866.100000009</v>
      </c>
      <c r="I8" s="628"/>
      <c r="J8" s="628">
        <f>SUM(J3:J7)</f>
        <v>151569134.17432842</v>
      </c>
      <c r="K8" s="628">
        <f>SUM(K3:K7)</f>
        <v>198778109.11960003</v>
      </c>
      <c r="L8" s="628">
        <f>SUM(L3:L7)</f>
        <v>198778109.11960003</v>
      </c>
      <c r="M8" s="628">
        <f>SUM(M3:M7)</f>
        <v>198778109.11960003</v>
      </c>
      <c r="N8" s="628">
        <f>SUM(N3:N7)</f>
        <v>198778109.11960003</v>
      </c>
      <c r="O8" s="347">
        <f>O9+O17+O22</f>
        <v>590363.75774170004</v>
      </c>
    </row>
    <row r="9" spans="1:16">
      <c r="O9" s="371">
        <f>'К ВС'!N322</f>
        <v>590363.75774170004</v>
      </c>
    </row>
    <row r="10" spans="1:16" ht="15.75">
      <c r="H10" s="677"/>
      <c r="I10" s="678"/>
      <c r="J10" s="678"/>
    </row>
    <row r="11" spans="1:16">
      <c r="A11" s="630" t="s">
        <v>1216</v>
      </c>
      <c r="B11" s="630"/>
      <c r="C11" s="630" t="s">
        <v>1264</v>
      </c>
      <c r="H11" s="678"/>
      <c r="I11" s="678"/>
      <c r="J11" s="701">
        <f>J3-H3</f>
        <v>8292983.3778000027</v>
      </c>
      <c r="K11" s="702">
        <f>K3-H3</f>
        <v>16609629.445599996</v>
      </c>
    </row>
    <row r="12" spans="1:16">
      <c r="A12" s="630"/>
      <c r="B12" s="630"/>
      <c r="C12" s="630"/>
      <c r="H12" s="678"/>
      <c r="I12" s="678"/>
      <c r="J12" s="701">
        <f>J4-H4</f>
        <v>44892284.696528383</v>
      </c>
      <c r="K12" s="702">
        <f>K4-H4</f>
        <v>83784613.574000001</v>
      </c>
    </row>
    <row r="13" spans="1:16" ht="15.75">
      <c r="A13" s="630"/>
      <c r="B13" s="630"/>
      <c r="C13" s="630"/>
      <c r="H13" s="678"/>
      <c r="I13" s="677"/>
      <c r="J13" s="678"/>
    </row>
    <row r="14" spans="1:16">
      <c r="H14" s="678"/>
      <c r="I14" s="678"/>
      <c r="J14" s="678"/>
    </row>
    <row r="15" spans="1:16" ht="18.75">
      <c r="A15" s="616" t="s">
        <v>1247</v>
      </c>
      <c r="B15" s="616"/>
      <c r="C15" s="616"/>
      <c r="D15" s="616"/>
      <c r="E15" s="616"/>
      <c r="F15" s="616"/>
      <c r="G15" s="616"/>
      <c r="H15" s="678"/>
      <c r="I15" s="678"/>
      <c r="J15" s="678"/>
    </row>
    <row r="16" spans="1:16" ht="18.75">
      <c r="A16" s="616" t="s">
        <v>1329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</row>
    <row r="17" spans="1:14" ht="18.75">
      <c r="A17" s="616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</row>
    <row r="18" spans="1:14" ht="86.25">
      <c r="A18" s="617" t="s">
        <v>1248</v>
      </c>
      <c r="B18" s="617" t="s">
        <v>1249</v>
      </c>
      <c r="C18" s="617" t="s">
        <v>1250</v>
      </c>
      <c r="D18" s="617" t="s">
        <v>1251</v>
      </c>
      <c r="E18" s="617" t="s">
        <v>1252</v>
      </c>
      <c r="F18" s="618" t="s">
        <v>1253</v>
      </c>
      <c r="G18" s="619" t="s">
        <v>1252</v>
      </c>
      <c r="H18" s="620" t="s">
        <v>1254</v>
      </c>
      <c r="I18" s="620" t="s">
        <v>1255</v>
      </c>
      <c r="J18" s="620" t="s">
        <v>1324</v>
      </c>
      <c r="K18" s="620" t="s">
        <v>1256</v>
      </c>
      <c r="L18" s="620" t="s">
        <v>1257</v>
      </c>
      <c r="M18" s="620" t="s">
        <v>1258</v>
      </c>
      <c r="N18" s="620" t="s">
        <v>1259</v>
      </c>
    </row>
    <row r="19" spans="1:14" ht="15.75">
      <c r="A19" s="621" t="s">
        <v>1260</v>
      </c>
      <c r="B19" s="622">
        <v>1685867570.45</v>
      </c>
      <c r="C19" s="622"/>
      <c r="D19" s="622">
        <f>D24*E19/100</f>
        <v>163027488.498045</v>
      </c>
      <c r="E19" s="622">
        <v>47.73</v>
      </c>
      <c r="F19" s="622">
        <f>B19+C19+D19</f>
        <v>1848895058.948045</v>
      </c>
      <c r="G19" s="623">
        <f>F19/F24</f>
        <v>0.37466814987308056</v>
      </c>
      <c r="H19" s="622">
        <v>36893949.75</v>
      </c>
      <c r="I19" s="622">
        <v>883423144.5</v>
      </c>
      <c r="J19" s="622">
        <f>H19+I19/100*2/2</f>
        <v>45728181.195</v>
      </c>
      <c r="K19" s="622">
        <f>H19+I19/100*2</f>
        <v>54562412.640000001</v>
      </c>
      <c r="L19" s="622">
        <f>K19</f>
        <v>54562412.640000001</v>
      </c>
      <c r="M19" s="622">
        <f>L19</f>
        <v>54562412.640000001</v>
      </c>
      <c r="N19" s="622">
        <f>M19</f>
        <v>54562412.640000001</v>
      </c>
    </row>
    <row r="20" spans="1:14" ht="15.75">
      <c r="A20" s="621" t="s">
        <v>1261</v>
      </c>
      <c r="B20" s="622"/>
      <c r="C20" s="622">
        <v>2907324296.52</v>
      </c>
      <c r="D20" s="622">
        <f>D24*E20/100</f>
        <v>118726911.79953998</v>
      </c>
      <c r="E20" s="622">
        <v>34.76</v>
      </c>
      <c r="F20" s="622">
        <f>B20+C20+D20</f>
        <v>3026051208.31954</v>
      </c>
      <c r="G20" s="623">
        <f>F19/F20</f>
        <v>0.61099265401222136</v>
      </c>
      <c r="H20" s="622">
        <v>60309309.960000001</v>
      </c>
      <c r="I20" s="622">
        <v>4537587815.2700005</v>
      </c>
      <c r="J20" s="622">
        <f>H20+I20/100*2/2</f>
        <v>105685188.11270002</v>
      </c>
      <c r="K20" s="622">
        <f>H20+I20/100*2</f>
        <v>151061066.26540002</v>
      </c>
      <c r="L20" s="622">
        <f t="shared" ref="L20:N23" si="1">K20</f>
        <v>151061066.26540002</v>
      </c>
      <c r="M20" s="622">
        <f t="shared" si="1"/>
        <v>151061066.26540002</v>
      </c>
      <c r="N20" s="622">
        <f t="shared" si="1"/>
        <v>151061066.26540002</v>
      </c>
    </row>
    <row r="21" spans="1:14" ht="15.75">
      <c r="A21" s="621" t="s">
        <v>862</v>
      </c>
      <c r="B21" s="622"/>
      <c r="C21" s="622"/>
      <c r="D21" s="622">
        <f>D24*E21/100</f>
        <v>21757492.179604996</v>
      </c>
      <c r="E21" s="622">
        <v>6.37</v>
      </c>
      <c r="F21" s="622">
        <f>B21+C21+D21</f>
        <v>21757492.179604996</v>
      </c>
      <c r="G21" s="623">
        <f>F21/F24</f>
        <v>4.4090330066914275E-3</v>
      </c>
      <c r="H21" s="622">
        <v>393535.46</v>
      </c>
      <c r="I21" s="622"/>
      <c r="J21" s="622">
        <f>H21</f>
        <v>393535.46</v>
      </c>
      <c r="K21" s="622">
        <f>H21+I21/100*2</f>
        <v>393535.46</v>
      </c>
      <c r="L21" s="622">
        <f t="shared" si="1"/>
        <v>393535.46</v>
      </c>
      <c r="M21" s="622">
        <f t="shared" si="1"/>
        <v>393535.46</v>
      </c>
      <c r="N21" s="622">
        <f t="shared" si="1"/>
        <v>393535.46</v>
      </c>
    </row>
    <row r="22" spans="1:14" ht="15.75">
      <c r="A22" s="621" t="s">
        <v>1245</v>
      </c>
      <c r="B22" s="622"/>
      <c r="C22" s="622"/>
      <c r="D22" s="622">
        <f>D24*E22/100</f>
        <v>32755784.929734997</v>
      </c>
      <c r="E22" s="622">
        <v>9.59</v>
      </c>
      <c r="F22" s="622">
        <f>B22+C22+D22</f>
        <v>32755784.929734997</v>
      </c>
      <c r="G22" s="623">
        <f>F22/F24</f>
        <v>6.6377749661178645E-3</v>
      </c>
      <c r="H22" s="622">
        <v>688687.06</v>
      </c>
      <c r="I22" s="622"/>
      <c r="J22" s="622">
        <f>H22</f>
        <v>688687.06</v>
      </c>
      <c r="K22" s="622">
        <f>H22+I22/100*2</f>
        <v>688687.06</v>
      </c>
      <c r="L22" s="622">
        <f t="shared" si="1"/>
        <v>688687.06</v>
      </c>
      <c r="M22" s="622">
        <f t="shared" si="1"/>
        <v>688687.06</v>
      </c>
      <c r="N22" s="622">
        <f t="shared" si="1"/>
        <v>688687.06</v>
      </c>
    </row>
    <row r="23" spans="1:14" ht="16.5" thickBot="1">
      <c r="A23" s="624" t="s">
        <v>1262</v>
      </c>
      <c r="B23" s="625"/>
      <c r="C23" s="625"/>
      <c r="D23" s="625">
        <f>D24*E23/100</f>
        <v>5294209.2430750001</v>
      </c>
      <c r="E23" s="625">
        <v>1.55</v>
      </c>
      <c r="F23" s="622">
        <f>B23+C23+D23</f>
        <v>5294209.2430750001</v>
      </c>
      <c r="G23" s="626">
        <f>F23/F24</f>
        <v>1.0728416264319802E-3</v>
      </c>
      <c r="H23" s="625">
        <v>98383.87</v>
      </c>
      <c r="I23" s="625"/>
      <c r="J23" s="622">
        <f>H23</f>
        <v>98383.87</v>
      </c>
      <c r="K23" s="622">
        <f>H23+I23/100*2</f>
        <v>98383.87</v>
      </c>
      <c r="L23" s="622">
        <f t="shared" si="1"/>
        <v>98383.87</v>
      </c>
      <c r="M23" s="622">
        <f t="shared" si="1"/>
        <v>98383.87</v>
      </c>
      <c r="N23" s="622">
        <f t="shared" si="1"/>
        <v>98383.87</v>
      </c>
    </row>
    <row r="24" spans="1:14" ht="16.5" thickBot="1">
      <c r="A24" s="627" t="s">
        <v>1263</v>
      </c>
      <c r="B24" s="628">
        <f>SUM(B19:B23)</f>
        <v>1685867570.45</v>
      </c>
      <c r="C24" s="628">
        <f>SUM(C19:C23)</f>
        <v>2907324296.52</v>
      </c>
      <c r="D24" s="628">
        <v>341561886.64999998</v>
      </c>
      <c r="E24" s="628">
        <f>SUM(E19:E23)</f>
        <v>100</v>
      </c>
      <c r="F24" s="628">
        <f>SUM(F19:F23)</f>
        <v>4934753753.6199999</v>
      </c>
      <c r="G24" s="629">
        <f>SUM(G19:G23)</f>
        <v>0.99778045348454303</v>
      </c>
      <c r="H24" s="628">
        <f>SUM(H19:H23)</f>
        <v>98383866.100000009</v>
      </c>
      <c r="I24" s="628"/>
      <c r="J24" s="628">
        <f>SUM(J19:J23)</f>
        <v>152593975.69770002</v>
      </c>
      <c r="K24" s="628">
        <f>SUM(K19:K23)</f>
        <v>206804085.29540005</v>
      </c>
      <c r="L24" s="628">
        <f>SUM(L19:L23)</f>
        <v>206804085.29540005</v>
      </c>
      <c r="M24" s="628">
        <f>SUM(M19:M23)</f>
        <v>206804085.29540005</v>
      </c>
      <c r="N24" s="628">
        <f>SUM(N19:N23)</f>
        <v>206804085.29540005</v>
      </c>
    </row>
    <row r="25" spans="1:14" ht="18.75">
      <c r="A25" s="616"/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</row>
    <row r="26" spans="1:14" ht="18.75">
      <c r="A26" s="616"/>
      <c r="B26" s="616"/>
      <c r="C26" s="616"/>
      <c r="D26" s="616"/>
      <c r="E26" s="616"/>
      <c r="F26" s="616"/>
      <c r="G26" s="616"/>
      <c r="H26" s="716">
        <f>H19+H20</f>
        <v>97203259.710000008</v>
      </c>
      <c r="I26" s="616"/>
      <c r="J26" s="616"/>
      <c r="K26" s="616"/>
      <c r="L26" s="616"/>
      <c r="M26" s="616"/>
      <c r="N26" s="616"/>
    </row>
    <row r="27" spans="1:14">
      <c r="A27" s="630" t="s">
        <v>1216</v>
      </c>
      <c r="B27" s="630"/>
      <c r="C27" s="630" t="s">
        <v>1264</v>
      </c>
      <c r="F27" s="347">
        <f>F19/F24</f>
        <v>0.37466814987308056</v>
      </c>
    </row>
    <row r="28" spans="1:14">
      <c r="J28" s="347">
        <f>105201616.75/J4</f>
        <v>1.0000002100108054</v>
      </c>
    </row>
    <row r="30" spans="1:14">
      <c r="J30" s="347">
        <f>1.021*2</f>
        <v>2.0419999999999998</v>
      </c>
    </row>
    <row r="32" spans="1:14" ht="21">
      <c r="I32" s="708"/>
      <c r="J32" s="709" t="s">
        <v>1331</v>
      </c>
      <c r="K32" s="709"/>
    </row>
    <row r="33" spans="9:11" ht="21">
      <c r="I33" s="708"/>
      <c r="J33" s="710">
        <f>I19/100*2</f>
        <v>17668462.890000001</v>
      </c>
      <c r="K33" s="708"/>
    </row>
    <row r="34" spans="9:11" ht="21">
      <c r="I34" s="708"/>
      <c r="J34" s="710">
        <f>I20/100*2</f>
        <v>90751756.305400014</v>
      </c>
      <c r="K34" s="708"/>
    </row>
    <row r="35" spans="9:11" ht="21">
      <c r="I35" s="708"/>
      <c r="J35" s="710">
        <f>SUM(J33:J34)</f>
        <v>108420219.19540001</v>
      </c>
      <c r="K35" s="708"/>
    </row>
    <row r="36" spans="9:11" ht="21">
      <c r="I36" s="708" t="s">
        <v>1332</v>
      </c>
      <c r="J36" s="711">
        <f>J35/4</f>
        <v>27105054.798850004</v>
      </c>
      <c r="K36" s="708"/>
    </row>
    <row r="37" spans="9:11" ht="21">
      <c r="I37" s="708" t="s">
        <v>1333</v>
      </c>
      <c r="J37" s="711">
        <v>24000000</v>
      </c>
      <c r="K37" s="708"/>
    </row>
    <row r="38" spans="9:11" ht="21">
      <c r="I38" s="708" t="s">
        <v>1263</v>
      </c>
      <c r="J38" s="712">
        <f>SUM(J36:J37)</f>
        <v>51105054.79885</v>
      </c>
      <c r="K38" s="708"/>
    </row>
    <row r="39" spans="9:11" ht="21">
      <c r="I39" s="708" t="s">
        <v>1334</v>
      </c>
      <c r="J39" s="712">
        <v>45200000</v>
      </c>
      <c r="K39" s="708"/>
    </row>
  </sheetData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workbookViewId="0">
      <selection activeCell="I56" sqref="I56"/>
    </sheetView>
  </sheetViews>
  <sheetFormatPr defaultColWidth="8.85546875" defaultRowHeight="15"/>
  <cols>
    <col min="1" max="1" width="34.42578125" customWidth="1"/>
    <col min="2" max="2" width="18" customWidth="1"/>
    <col min="3" max="3" width="17.42578125" customWidth="1"/>
  </cols>
  <sheetData>
    <row r="3" spans="1:15">
      <c r="A3" s="1700" t="s">
        <v>592</v>
      </c>
      <c r="B3" s="1700"/>
      <c r="C3" s="1700"/>
    </row>
    <row r="4" spans="1:15">
      <c r="A4" s="204" t="s">
        <v>1140</v>
      </c>
      <c r="B4" s="696" t="s">
        <v>1322</v>
      </c>
      <c r="C4" s="313">
        <v>2020</v>
      </c>
    </row>
    <row r="5" spans="1:15">
      <c r="A5" s="204" t="s">
        <v>1321</v>
      </c>
      <c r="B5" s="321">
        <v>30019.39</v>
      </c>
      <c r="C5" s="321">
        <v>60038.79</v>
      </c>
    </row>
    <row r="6" spans="1:15">
      <c r="A6" s="204" t="s">
        <v>1323</v>
      </c>
      <c r="B6" s="321">
        <v>8292.98</v>
      </c>
      <c r="C6" s="321">
        <f>B6*2</f>
        <v>16585.96</v>
      </c>
    </row>
    <row r="7" spans="1:15">
      <c r="A7" s="697" t="s">
        <v>858</v>
      </c>
      <c r="B7" s="698">
        <f>SUM(B5:B6)</f>
        <v>38312.369999999995</v>
      </c>
      <c r="C7" s="698">
        <f>SUM(C5:C6)</f>
        <v>76624.75</v>
      </c>
    </row>
    <row r="8" spans="1:15">
      <c r="O8">
        <f>O9+O17+O22</f>
        <v>590363.75774170004</v>
      </c>
    </row>
    <row r="9" spans="1:15">
      <c r="O9" s="134">
        <f>'К ВС'!N322</f>
        <v>590363.75774170004</v>
      </c>
    </row>
    <row r="13" spans="1:15">
      <c r="A13" s="1700" t="s">
        <v>690</v>
      </c>
      <c r="B13" s="1700"/>
      <c r="C13" s="1700"/>
    </row>
    <row r="14" spans="1:15">
      <c r="A14" s="204" t="s">
        <v>1140</v>
      </c>
      <c r="B14" s="696" t="s">
        <v>1322</v>
      </c>
      <c r="C14" s="313">
        <v>2020</v>
      </c>
    </row>
    <row r="15" spans="1:15">
      <c r="A15" s="204" t="s">
        <v>1321</v>
      </c>
      <c r="B15" s="321">
        <v>106098.09</v>
      </c>
      <c r="C15" s="321">
        <f>B15*2</f>
        <v>212196.18</v>
      </c>
    </row>
    <row r="16" spans="1:15">
      <c r="A16" s="204" t="s">
        <v>1323</v>
      </c>
      <c r="B16" s="321">
        <v>41891.300000000003</v>
      </c>
      <c r="C16" s="321">
        <f>B16*2</f>
        <v>83782.600000000006</v>
      </c>
    </row>
    <row r="17" spans="1:14">
      <c r="A17" s="697" t="s">
        <v>858</v>
      </c>
      <c r="B17" s="698">
        <f>SUM(B15:B16)</f>
        <v>147989.39000000001</v>
      </c>
      <c r="C17" s="698">
        <f>SUM(C15:C16)</f>
        <v>295978.78000000003</v>
      </c>
      <c r="N17" s="134">
        <f>'К ВС'!N324</f>
        <v>125555.68150020801</v>
      </c>
    </row>
    <row r="19" spans="1:14">
      <c r="A19" s="996" t="s">
        <v>1389</v>
      </c>
      <c r="B19" s="997">
        <f>B6+B16</f>
        <v>50184.28</v>
      </c>
    </row>
    <row r="21" spans="1:14">
      <c r="A21" s="313" t="s">
        <v>1341</v>
      </c>
      <c r="B21" s="313" t="s">
        <v>697</v>
      </c>
      <c r="C21" s="313" t="s">
        <v>698</v>
      </c>
    </row>
    <row r="22" spans="1:14">
      <c r="A22" s="313" t="s">
        <v>1338</v>
      </c>
      <c r="B22" s="312">
        <v>89817.95</v>
      </c>
      <c r="C22" s="717">
        <v>123493.05</v>
      </c>
    </row>
    <row r="23" spans="1:14">
      <c r="A23" s="313" t="s">
        <v>1339</v>
      </c>
      <c r="B23" s="312">
        <v>60038.79</v>
      </c>
      <c r="C23" s="312">
        <v>212196.18</v>
      </c>
    </row>
    <row r="24" spans="1:14">
      <c r="A24" s="313" t="s">
        <v>1340</v>
      </c>
      <c r="B24" s="312">
        <v>149856.74</v>
      </c>
      <c r="C24" s="717">
        <v>335689.23</v>
      </c>
    </row>
    <row r="27" spans="1:14">
      <c r="A27" s="450" t="s">
        <v>1348</v>
      </c>
    </row>
    <row r="28" spans="1:14">
      <c r="C28" s="733">
        <f>C5+C22</f>
        <v>183531.84</v>
      </c>
    </row>
    <row r="29" spans="1:14">
      <c r="A29" t="s">
        <v>1349</v>
      </c>
      <c r="C29" s="134">
        <f>C6+C23</f>
        <v>228782.13999999998</v>
      </c>
    </row>
    <row r="30" spans="1:14">
      <c r="C30" s="733">
        <f>SUM(C28:C29)</f>
        <v>412313.98</v>
      </c>
    </row>
  </sheetData>
  <mergeCells count="2">
    <mergeCell ref="A3:C3"/>
    <mergeCell ref="A13:C1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56" sqref="I56"/>
    </sheetView>
  </sheetViews>
  <sheetFormatPr defaultColWidth="8.85546875" defaultRowHeight="15"/>
  <cols>
    <col min="1" max="1" width="38.85546875" customWidth="1"/>
    <col min="2" max="2" width="15.85546875" customWidth="1"/>
    <col min="3" max="3" width="13.85546875" customWidth="1"/>
    <col min="4" max="4" width="15.85546875" customWidth="1"/>
    <col min="5" max="5" width="16.28515625" customWidth="1"/>
    <col min="6" max="6" width="15.28515625" customWidth="1"/>
    <col min="7" max="7" width="14" customWidth="1"/>
    <col min="8" max="8" width="13.28515625" customWidth="1"/>
  </cols>
  <sheetData>
    <row r="1" spans="1:8">
      <c r="A1" s="1701" t="s">
        <v>1347</v>
      </c>
      <c r="B1" s="1701"/>
      <c r="C1" s="1701"/>
      <c r="D1" s="1701"/>
      <c r="E1" s="1701"/>
      <c r="F1" s="1701"/>
      <c r="G1" s="1701"/>
      <c r="H1" s="1701"/>
    </row>
    <row r="2" spans="1:8" ht="15.75" thickBot="1"/>
    <row r="3" spans="1:8">
      <c r="A3" s="1707" t="s">
        <v>1140</v>
      </c>
      <c r="B3" s="1702" t="s">
        <v>697</v>
      </c>
      <c r="C3" s="1703"/>
      <c r="D3" s="1704" t="s">
        <v>698</v>
      </c>
      <c r="E3" s="1705"/>
      <c r="F3" s="1704" t="s">
        <v>1343</v>
      </c>
      <c r="G3" s="1706"/>
      <c r="H3" s="1709" t="s">
        <v>1346</v>
      </c>
    </row>
    <row r="4" spans="1:8" ht="45">
      <c r="A4" s="1708"/>
      <c r="B4" s="718" t="s">
        <v>1342</v>
      </c>
      <c r="C4" s="719" t="s">
        <v>1344</v>
      </c>
      <c r="D4" s="718" t="s">
        <v>1342</v>
      </c>
      <c r="E4" s="719" t="s">
        <v>1344</v>
      </c>
      <c r="F4" s="718" t="s">
        <v>1342</v>
      </c>
      <c r="G4" s="726" t="s">
        <v>1344</v>
      </c>
      <c r="H4" s="1710"/>
    </row>
    <row r="5" spans="1:8">
      <c r="A5" s="724" t="s">
        <v>605</v>
      </c>
      <c r="B5" s="720">
        <v>846841.21</v>
      </c>
      <c r="C5" s="721">
        <v>895898.12</v>
      </c>
      <c r="D5" s="720">
        <v>893145.55</v>
      </c>
      <c r="E5" s="721">
        <v>708865.15</v>
      </c>
      <c r="F5" s="720">
        <f>B5+D5</f>
        <v>1739986.76</v>
      </c>
      <c r="G5" s="727">
        <f>C5+E5</f>
        <v>1604763.27</v>
      </c>
      <c r="H5" s="729">
        <f>G5-F5</f>
        <v>-135223.49</v>
      </c>
    </row>
    <row r="6" spans="1:8">
      <c r="A6" s="724" t="s">
        <v>1345</v>
      </c>
      <c r="B6" s="720"/>
      <c r="C6" s="721"/>
      <c r="D6" s="720"/>
      <c r="E6" s="721"/>
      <c r="F6" s="720"/>
      <c r="G6" s="727"/>
      <c r="H6" s="724"/>
    </row>
    <row r="7" spans="1:8" ht="15.75" thickBot="1">
      <c r="A7" s="725" t="s">
        <v>1122</v>
      </c>
      <c r="B7" s="722">
        <v>119471.34</v>
      </c>
      <c r="C7" s="723">
        <v>88365.23</v>
      </c>
      <c r="D7" s="722">
        <v>191267.72</v>
      </c>
      <c r="E7" s="723">
        <v>118501.05</v>
      </c>
      <c r="F7" s="722">
        <f>B7+D7</f>
        <v>310739.06</v>
      </c>
      <c r="G7" s="728">
        <f>C7+E7</f>
        <v>206866.28</v>
      </c>
      <c r="H7" s="730">
        <f>G7-F7</f>
        <v>-103872.78</v>
      </c>
    </row>
    <row r="8" spans="1:8">
      <c r="A8" s="595"/>
      <c r="B8" s="595"/>
      <c r="C8" s="595"/>
      <c r="D8" s="595"/>
      <c r="E8" s="595"/>
      <c r="F8" s="595"/>
    </row>
    <row r="9" spans="1:8">
      <c r="A9" s="595"/>
      <c r="B9" s="595"/>
      <c r="C9" s="595"/>
      <c r="D9" s="595"/>
      <c r="E9" s="595"/>
      <c r="F9" s="595"/>
    </row>
    <row r="10" spans="1:8">
      <c r="A10" s="595"/>
      <c r="B10" s="595"/>
      <c r="C10" s="595"/>
      <c r="D10" s="595"/>
      <c r="E10" s="595"/>
      <c r="F10" s="595"/>
    </row>
    <row r="11" spans="1:8">
      <c r="A11" s="595"/>
      <c r="B11" s="595"/>
      <c r="C11" s="595"/>
      <c r="D11" s="595"/>
      <c r="E11" s="595"/>
      <c r="F11" s="595"/>
    </row>
    <row r="12" spans="1:8">
      <c r="A12" s="595"/>
      <c r="B12" s="595"/>
      <c r="C12" s="595"/>
      <c r="D12" s="595"/>
      <c r="E12" s="595"/>
      <c r="F12" s="595"/>
    </row>
    <row r="13" spans="1:8">
      <c r="A13" s="595"/>
      <c r="B13" s="595"/>
      <c r="C13" s="595"/>
      <c r="D13" s="595"/>
      <c r="E13" s="595"/>
      <c r="F13" s="595"/>
    </row>
    <row r="14" spans="1:8">
      <c r="A14" s="595"/>
      <c r="B14" s="595"/>
      <c r="C14" s="595"/>
      <c r="D14" s="595"/>
      <c r="E14" s="595"/>
      <c r="F14" s="595"/>
    </row>
    <row r="15" spans="1:8">
      <c r="A15" s="595"/>
      <c r="B15" s="595"/>
      <c r="C15" s="595"/>
      <c r="D15" s="595"/>
      <c r="E15" s="595"/>
      <c r="F15" s="595"/>
    </row>
    <row r="16" spans="1:8">
      <c r="A16" s="595"/>
      <c r="B16" s="595"/>
      <c r="C16" s="595"/>
      <c r="D16" s="595"/>
      <c r="E16" s="595"/>
      <c r="F16" s="595"/>
    </row>
    <row r="17" spans="1:6">
      <c r="A17" s="595"/>
      <c r="B17" s="595"/>
      <c r="C17" s="595"/>
      <c r="D17" s="595"/>
      <c r="E17" s="595"/>
      <c r="F17" s="595"/>
    </row>
  </sheetData>
  <mergeCells count="6">
    <mergeCell ref="A1:H1"/>
    <mergeCell ref="B3:C3"/>
    <mergeCell ref="D3:E3"/>
    <mergeCell ref="F3:G3"/>
    <mergeCell ref="A3:A4"/>
    <mergeCell ref="H3:H4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5"/>
  <sheetViews>
    <sheetView topLeftCell="A8" zoomScale="90" zoomScaleNormal="90" workbookViewId="0">
      <selection activeCell="B16" sqref="B16:J28"/>
    </sheetView>
  </sheetViews>
  <sheetFormatPr defaultColWidth="9.140625" defaultRowHeight="15"/>
  <cols>
    <col min="1" max="1" width="6.140625" style="1209" customWidth="1"/>
    <col min="2" max="2" width="19.28515625" style="1209" customWidth="1"/>
    <col min="3" max="3" width="75.7109375" style="1209" customWidth="1"/>
    <col min="4" max="4" width="20.7109375" style="1209" customWidth="1"/>
    <col min="5" max="5" width="18.28515625" style="1209" customWidth="1"/>
    <col min="6" max="6" width="19.42578125" style="1209" hidden="1" customWidth="1"/>
    <col min="7" max="7" width="18.5703125" style="1209" hidden="1" customWidth="1"/>
    <col min="8" max="8" width="18.5703125" style="1209" customWidth="1"/>
    <col min="9" max="9" width="15.28515625" style="1209" customWidth="1"/>
    <col min="10" max="10" width="14.5703125" style="1209" customWidth="1"/>
    <col min="11" max="11" width="0" style="1209" hidden="1" customWidth="1"/>
    <col min="12" max="12" width="13.28515625" style="1209" hidden="1" customWidth="1"/>
    <col min="13" max="13" width="16.28515625" style="1209" hidden="1" customWidth="1"/>
    <col min="14" max="16" width="0" style="1209" hidden="1" customWidth="1"/>
    <col min="17" max="17" width="16.140625" style="1209" customWidth="1"/>
    <col min="18" max="16384" width="9.140625" style="1209"/>
  </cols>
  <sheetData>
    <row r="1" spans="1:17">
      <c r="F1" s="1559" t="s">
        <v>1502</v>
      </c>
      <c r="G1" s="1559"/>
      <c r="H1" s="1325"/>
    </row>
    <row r="3" spans="1:17" ht="18.75">
      <c r="B3" s="1210" t="s">
        <v>1482</v>
      </c>
      <c r="C3" s="1210"/>
      <c r="D3" s="1210"/>
      <c r="E3" s="1210"/>
      <c r="F3" s="1210"/>
      <c r="G3" s="1210"/>
      <c r="H3" s="1210"/>
    </row>
    <row r="5" spans="1:17" ht="16.5" thickBot="1">
      <c r="B5" s="1211" t="s">
        <v>592</v>
      </c>
    </row>
    <row r="6" spans="1:17" ht="25.5" customHeight="1">
      <c r="A6" s="1213" t="s">
        <v>1503</v>
      </c>
      <c r="B6" s="1560" t="s">
        <v>1483</v>
      </c>
      <c r="C6" s="1561"/>
      <c r="D6" s="1562">
        <v>2020</v>
      </c>
      <c r="E6" s="1563"/>
      <c r="F6" s="1562">
        <v>2021</v>
      </c>
      <c r="G6" s="1564"/>
      <c r="H6" s="1212">
        <v>2021</v>
      </c>
      <c r="I6" s="1213">
        <v>2022</v>
      </c>
      <c r="J6" s="1214">
        <v>2023</v>
      </c>
      <c r="Q6" s="1215" t="s">
        <v>1484</v>
      </c>
    </row>
    <row r="7" spans="1:17" ht="45" customHeight="1" thickBot="1">
      <c r="A7" s="1326"/>
      <c r="B7" s="1216"/>
      <c r="C7" s="1217" t="s">
        <v>1485</v>
      </c>
      <c r="D7" s="1218" t="s">
        <v>1486</v>
      </c>
      <c r="E7" s="1219" t="s">
        <v>1487</v>
      </c>
      <c r="F7" s="1218" t="s">
        <v>1486</v>
      </c>
      <c r="G7" s="1220" t="s">
        <v>1487</v>
      </c>
      <c r="H7" s="1565" t="s">
        <v>1488</v>
      </c>
      <c r="I7" s="1566"/>
      <c r="J7" s="1567"/>
      <c r="Q7" s="1221"/>
    </row>
    <row r="8" spans="1:17" ht="25.5" customHeight="1">
      <c r="A8" s="1568">
        <v>1</v>
      </c>
      <c r="B8" s="1570" t="s">
        <v>1489</v>
      </c>
      <c r="C8" s="1222" t="s">
        <v>1490</v>
      </c>
      <c r="D8" s="1223">
        <v>36505.730000000003</v>
      </c>
      <c r="E8" s="1224">
        <v>46592.61</v>
      </c>
      <c r="F8" s="1223">
        <f>F9</f>
        <v>51828.480000000003</v>
      </c>
      <c r="G8" s="1225">
        <f>G9</f>
        <v>37693.86</v>
      </c>
      <c r="H8" s="1226"/>
      <c r="I8" s="1227"/>
      <c r="J8" s="1228"/>
      <c r="Q8" s="1228"/>
    </row>
    <row r="9" spans="1:17" ht="24" customHeight="1" thickBot="1">
      <c r="A9" s="1569"/>
      <c r="B9" s="1571"/>
      <c r="C9" s="1229" t="s">
        <v>1491</v>
      </c>
      <c r="D9" s="1230">
        <v>36505.730000000003</v>
      </c>
      <c r="E9" s="1231">
        <v>46592.61</v>
      </c>
      <c r="F9" s="1230">
        <f>51828.48</f>
        <v>51828.480000000003</v>
      </c>
      <c r="G9" s="1232">
        <v>37693.86</v>
      </c>
      <c r="H9" s="1233">
        <f>G9</f>
        <v>37693.86</v>
      </c>
      <c r="I9" s="1230">
        <f>I14-I11-I12</f>
        <v>35198.030000000013</v>
      </c>
      <c r="J9" s="1234">
        <f>J14-J11-J12</f>
        <v>30554.010000000024</v>
      </c>
      <c r="Q9" s="1235">
        <v>38215.75</v>
      </c>
    </row>
    <row r="10" spans="1:17" ht="22.5" customHeight="1">
      <c r="A10" s="1579">
        <v>2</v>
      </c>
      <c r="B10" s="1581" t="s">
        <v>1492</v>
      </c>
      <c r="C10" s="1236" t="s">
        <v>703</v>
      </c>
      <c r="D10" s="1237">
        <v>0</v>
      </c>
      <c r="E10" s="1238">
        <v>0</v>
      </c>
      <c r="F10" s="1237">
        <v>0</v>
      </c>
      <c r="G10" s="1239"/>
      <c r="H10" s="1240"/>
      <c r="I10" s="1237">
        <v>0</v>
      </c>
      <c r="J10" s="1239">
        <v>0</v>
      </c>
      <c r="M10" s="1241"/>
      <c r="N10" s="1241"/>
      <c r="O10" s="1241"/>
      <c r="P10" s="1241"/>
      <c r="Q10" s="1239"/>
    </row>
    <row r="11" spans="1:17" ht="22.5" customHeight="1">
      <c r="A11" s="1579"/>
      <c r="B11" s="1582"/>
      <c r="C11" s="1242" t="s">
        <v>1493</v>
      </c>
      <c r="D11" s="1243">
        <f>46300-D10</f>
        <v>46300</v>
      </c>
      <c r="E11" s="1244">
        <f>46300-10086.88</f>
        <v>36213.120000000003</v>
      </c>
      <c r="F11" s="1245">
        <f>D11*1.04</f>
        <v>48152</v>
      </c>
      <c r="G11" s="1246">
        <v>62286.62</v>
      </c>
      <c r="H11" s="1247">
        <f>G11</f>
        <v>62286.62</v>
      </c>
      <c r="I11" s="1245">
        <v>68515.28</v>
      </c>
      <c r="J11" s="1248">
        <v>75366.81</v>
      </c>
      <c r="N11" s="1241"/>
      <c r="Q11" s="1249">
        <v>62286.62</v>
      </c>
    </row>
    <row r="12" spans="1:17" ht="22.5" customHeight="1" thickBot="1">
      <c r="A12" s="1579"/>
      <c r="B12" s="1583"/>
      <c r="C12" s="1250" t="s">
        <v>1494</v>
      </c>
      <c r="D12" s="1251">
        <f>149856.74-D9-D11</f>
        <v>67051.00999999998</v>
      </c>
      <c r="E12" s="1252">
        <v>67051.009999999995</v>
      </c>
      <c r="F12" s="1251">
        <f>151559.74-F9-F11</f>
        <v>51579.25999999998</v>
      </c>
      <c r="G12" s="1253">
        <v>51579.26</v>
      </c>
      <c r="H12" s="1254">
        <v>40141.379999999997</v>
      </c>
      <c r="I12" s="1251">
        <v>39632.349999999991</v>
      </c>
      <c r="J12" s="1253">
        <v>39632.349999999991</v>
      </c>
      <c r="K12" s="1209">
        <v>32780.819999999992</v>
      </c>
      <c r="L12" s="1255">
        <f>D12-E12</f>
        <v>0</v>
      </c>
      <c r="Q12" s="1253"/>
    </row>
    <row r="13" spans="1:17" ht="30.75" customHeight="1" thickBot="1">
      <c r="A13" s="1580"/>
      <c r="B13" s="1558" t="s">
        <v>1495</v>
      </c>
      <c r="C13" s="1584"/>
      <c r="D13" s="1256">
        <f>SUM(D10:D12)</f>
        <v>113351.00999999998</v>
      </c>
      <c r="E13" s="1257">
        <f>SUM(E10:E12)</f>
        <v>103264.13</v>
      </c>
      <c r="F13" s="1256">
        <f>SUM(F10:F12)</f>
        <v>99731.25999999998</v>
      </c>
      <c r="G13" s="1258"/>
      <c r="H13" s="1259"/>
      <c r="I13" s="1256">
        <f>SUM(I10:I12)</f>
        <v>108147.62999999999</v>
      </c>
      <c r="J13" s="1258">
        <f>SUM(J10:J12)</f>
        <v>114999.15999999999</v>
      </c>
      <c r="Q13" s="1258"/>
    </row>
    <row r="14" spans="1:17" ht="36" customHeight="1" thickBot="1">
      <c r="A14" s="1327"/>
      <c r="B14" s="1260"/>
      <c r="C14" s="1261" t="s">
        <v>1263</v>
      </c>
      <c r="D14" s="1262">
        <f>D8+D11+D12</f>
        <v>149856.74</v>
      </c>
      <c r="E14" s="1263">
        <f>E8+E11+E12</f>
        <v>149856.74</v>
      </c>
      <c r="F14" s="1262">
        <f>F8+F11+F12</f>
        <v>151559.74</v>
      </c>
      <c r="G14" s="1264">
        <f>G8+G11+G12</f>
        <v>151559.74000000002</v>
      </c>
      <c r="H14" s="1265">
        <v>140121.85999999999</v>
      </c>
      <c r="I14" s="1266">
        <v>143345.66</v>
      </c>
      <c r="J14" s="1267">
        <v>145553.17000000001</v>
      </c>
      <c r="M14" s="1262">
        <v>151559.74</v>
      </c>
      <c r="Q14" s="1267">
        <f>Q9+Q11</f>
        <v>100502.37</v>
      </c>
    </row>
    <row r="15" spans="1:17">
      <c r="D15" s="1255"/>
      <c r="E15" s="1255"/>
      <c r="F15" s="1255"/>
      <c r="G15" s="1255"/>
      <c r="I15" s="1255"/>
      <c r="J15" s="1255"/>
      <c r="Q15" s="1255"/>
    </row>
    <row r="16" spans="1:17" ht="16.5" thickBot="1">
      <c r="A16" s="1269"/>
      <c r="B16" s="1268" t="s">
        <v>690</v>
      </c>
      <c r="C16" s="1269"/>
      <c r="D16" s="1270"/>
      <c r="E16" s="1270"/>
      <c r="F16" s="1270"/>
      <c r="G16" s="1270"/>
      <c r="H16" s="1270"/>
      <c r="I16" s="1270"/>
      <c r="J16" s="1270"/>
      <c r="M16" s="1255">
        <f>M14-G12-G9</f>
        <v>62286.619999999981</v>
      </c>
      <c r="Q16" s="1255"/>
    </row>
    <row r="17" spans="1:17" ht="37.5" customHeight="1">
      <c r="A17" s="1271" t="s">
        <v>1503</v>
      </c>
      <c r="B17" s="1570" t="s">
        <v>1483</v>
      </c>
      <c r="C17" s="1574"/>
      <c r="D17" s="1572">
        <v>2020</v>
      </c>
      <c r="E17" s="1573"/>
      <c r="F17" s="1572">
        <v>2021</v>
      </c>
      <c r="G17" s="1574"/>
      <c r="H17" s="1271">
        <v>2021</v>
      </c>
      <c r="I17" s="1272">
        <v>2022</v>
      </c>
      <c r="J17" s="1273">
        <v>2023</v>
      </c>
      <c r="O17" s="1274"/>
      <c r="Q17" s="1215" t="s">
        <v>1484</v>
      </c>
    </row>
    <row r="18" spans="1:17" ht="37.5" customHeight="1">
      <c r="A18" s="1585" t="s">
        <v>803</v>
      </c>
      <c r="B18" s="1587" t="s">
        <v>1496</v>
      </c>
      <c r="C18" s="1275" t="s">
        <v>1485</v>
      </c>
      <c r="D18" s="1276" t="s">
        <v>1486</v>
      </c>
      <c r="E18" s="1277" t="s">
        <v>1487</v>
      </c>
      <c r="F18" s="1280" t="s">
        <v>1486</v>
      </c>
      <c r="G18" s="1279" t="s">
        <v>1487</v>
      </c>
      <c r="H18" s="1551" t="s">
        <v>1488</v>
      </c>
      <c r="I18" s="1552"/>
      <c r="J18" s="1553"/>
      <c r="N18" s="1209">
        <v>25</v>
      </c>
      <c r="Q18" s="1319"/>
    </row>
    <row r="19" spans="1:17" ht="28.5" customHeight="1">
      <c r="A19" s="1580"/>
      <c r="B19" s="1588"/>
      <c r="C19" s="1281" t="s">
        <v>1490</v>
      </c>
      <c r="D19" s="1282">
        <v>47000</v>
      </c>
      <c r="E19" s="1283">
        <v>30804.18</v>
      </c>
      <c r="F19" s="1282">
        <v>50623.59</v>
      </c>
      <c r="G19" s="1284">
        <v>50623.59</v>
      </c>
      <c r="H19" s="1282"/>
      <c r="I19" s="1285"/>
      <c r="J19" s="1286"/>
      <c r="Q19" s="1320"/>
    </row>
    <row r="20" spans="1:17" ht="28.5" customHeight="1">
      <c r="A20" s="1586"/>
      <c r="B20" s="1589"/>
      <c r="C20" s="1287" t="s">
        <v>1491</v>
      </c>
      <c r="D20" s="1288">
        <v>47000</v>
      </c>
      <c r="E20" s="1289">
        <v>30804.18</v>
      </c>
      <c r="F20" s="1288">
        <v>50623.59</v>
      </c>
      <c r="G20" s="1290">
        <f>45251.61+5371.98</f>
        <v>50623.59</v>
      </c>
      <c r="H20" s="1288">
        <f>G20</f>
        <v>50623.59</v>
      </c>
      <c r="I20" s="1291"/>
      <c r="J20" s="1292"/>
      <c r="Q20" s="1321">
        <v>49925.63</v>
      </c>
    </row>
    <row r="21" spans="1:17" ht="22.5" customHeight="1">
      <c r="A21" s="1554">
        <v>2</v>
      </c>
      <c r="B21" s="1557" t="s">
        <v>1497</v>
      </c>
      <c r="C21" s="1293" t="s">
        <v>1498</v>
      </c>
      <c r="D21" s="1294">
        <v>232389.23</v>
      </c>
      <c r="E21" s="1295">
        <f>E22+E24</f>
        <v>248585.05</v>
      </c>
      <c r="F21" s="1294">
        <v>233579.64</v>
      </c>
      <c r="G21" s="1296">
        <v>233579.64</v>
      </c>
      <c r="H21" s="1294"/>
      <c r="I21" s="1297"/>
      <c r="J21" s="1289"/>
      <c r="L21" s="1298"/>
      <c r="Q21" s="1322"/>
    </row>
    <row r="22" spans="1:17" ht="30" customHeight="1">
      <c r="A22" s="1555"/>
      <c r="B22" s="1558"/>
      <c r="C22" s="1299" t="s">
        <v>1499</v>
      </c>
      <c r="D22" s="1300">
        <v>133498.01</v>
      </c>
      <c r="E22" s="1289">
        <v>163638.34</v>
      </c>
      <c r="F22" s="1288">
        <v>133498.01</v>
      </c>
      <c r="G22" s="1290">
        <v>111192.53</v>
      </c>
      <c r="H22" s="1288"/>
      <c r="I22" s="1297"/>
      <c r="J22" s="1289"/>
      <c r="Q22" s="1321"/>
    </row>
    <row r="23" spans="1:17" ht="24" customHeight="1">
      <c r="A23" s="1555"/>
      <c r="B23" s="1558"/>
      <c r="C23" s="1299" t="s">
        <v>1500</v>
      </c>
      <c r="D23" s="1300">
        <v>12028.88</v>
      </c>
      <c r="E23" s="1289"/>
      <c r="F23" s="1288">
        <v>100081.63</v>
      </c>
      <c r="G23" s="1290">
        <v>127759.09</v>
      </c>
      <c r="H23" s="1288">
        <v>5371.98</v>
      </c>
      <c r="I23" s="1297"/>
      <c r="J23" s="1289"/>
      <c r="Q23" s="1321"/>
    </row>
    <row r="24" spans="1:17" ht="35.25" customHeight="1">
      <c r="A24" s="1556"/>
      <c r="B24" s="1558"/>
      <c r="C24" s="1301" t="s">
        <v>1501</v>
      </c>
      <c r="D24" s="1300">
        <v>86862.33</v>
      </c>
      <c r="E24" s="1289">
        <v>84946.71</v>
      </c>
      <c r="F24" s="1288">
        <v>0</v>
      </c>
      <c r="G24" s="1290">
        <v>0</v>
      </c>
      <c r="H24" s="1302">
        <v>136193.13</v>
      </c>
      <c r="I24" s="1303">
        <f>I28-I26</f>
        <v>194081.21999999997</v>
      </c>
      <c r="J24" s="1304">
        <f>J28-J26</f>
        <v>194573.1868</v>
      </c>
      <c r="Q24" s="1321"/>
    </row>
    <row r="25" spans="1:17" ht="22.5" customHeight="1">
      <c r="A25" s="1554">
        <v>3</v>
      </c>
      <c r="B25" s="1575" t="s">
        <v>1492</v>
      </c>
      <c r="C25" s="1305" t="s">
        <v>703</v>
      </c>
      <c r="D25" s="1288">
        <v>0</v>
      </c>
      <c r="E25" s="1289">
        <v>0</v>
      </c>
      <c r="F25" s="1288">
        <f>D25*1.04</f>
        <v>0</v>
      </c>
      <c r="G25" s="1290">
        <v>0</v>
      </c>
      <c r="H25" s="1288"/>
      <c r="I25" s="1297">
        <f>F25*1.04</f>
        <v>0</v>
      </c>
      <c r="J25" s="1289">
        <f>I25*1.04</f>
        <v>0</v>
      </c>
      <c r="M25" s="1241"/>
      <c r="Q25" s="1321"/>
    </row>
    <row r="26" spans="1:17" ht="22.5" customHeight="1">
      <c r="A26" s="1555"/>
      <c r="B26" s="1576"/>
      <c r="C26" s="1306" t="s">
        <v>1493</v>
      </c>
      <c r="D26" s="1294">
        <v>56300</v>
      </c>
      <c r="E26" s="1295">
        <v>56300</v>
      </c>
      <c r="F26" s="1294">
        <f>D26*1.04</f>
        <v>58552</v>
      </c>
      <c r="G26" s="1296">
        <f>69923.98-11371.98</f>
        <v>58552</v>
      </c>
      <c r="H26" s="1294">
        <f>G26</f>
        <v>58552</v>
      </c>
      <c r="I26" s="1307">
        <f>F26*1.04</f>
        <v>60894.080000000002</v>
      </c>
      <c r="J26" s="1295">
        <f>I26*1.04</f>
        <v>63329.843200000003</v>
      </c>
      <c r="M26" s="1241"/>
      <c r="Q26" s="1322">
        <v>58225</v>
      </c>
    </row>
    <row r="27" spans="1:17" ht="22.5" customHeight="1" thickBot="1">
      <c r="A27" s="1555"/>
      <c r="B27" s="1577" t="s">
        <v>1495</v>
      </c>
      <c r="C27" s="1578"/>
      <c r="D27" s="1308">
        <f>SUM(D25:D26)</f>
        <v>56300</v>
      </c>
      <c r="E27" s="1309">
        <f>SUM(E25:E26)</f>
        <v>56300</v>
      </c>
      <c r="F27" s="1308">
        <f>SUM(F25:F26)</f>
        <v>58552</v>
      </c>
      <c r="G27" s="1310">
        <v>58522</v>
      </c>
      <c r="H27" s="1308"/>
      <c r="I27" s="1311">
        <f>SUM(I25:I26)</f>
        <v>60894.080000000002</v>
      </c>
      <c r="J27" s="1309">
        <f>SUM(J25:J26)</f>
        <v>63329.843200000003</v>
      </c>
      <c r="L27" s="1255">
        <f>F28-G28</f>
        <v>0</v>
      </c>
      <c r="Q27" s="1323"/>
    </row>
    <row r="28" spans="1:17" ht="29.25" customHeight="1" thickBot="1">
      <c r="A28" s="1328"/>
      <c r="B28" s="1312"/>
      <c r="C28" s="1313" t="s">
        <v>1263</v>
      </c>
      <c r="D28" s="1314">
        <f>D19+D21+D26</f>
        <v>335689.23</v>
      </c>
      <c r="E28" s="1315">
        <f>E19+E21+E26</f>
        <v>335689.23</v>
      </c>
      <c r="F28" s="1314">
        <f>F19+F21+F26</f>
        <v>342755.23</v>
      </c>
      <c r="G28" s="1316">
        <f>G19+G21+G26</f>
        <v>342755.23</v>
      </c>
      <c r="H28" s="1314">
        <v>250740.7</v>
      </c>
      <c r="I28" s="1317">
        <v>254975.3</v>
      </c>
      <c r="J28" s="1315">
        <v>257903.03</v>
      </c>
      <c r="L28" s="1318"/>
      <c r="Q28" s="1324">
        <f>Q20+Q26</f>
        <v>108150.63</v>
      </c>
    </row>
    <row r="29" spans="1:17" hidden="1">
      <c r="B29" s="1329" t="s">
        <v>1504</v>
      </c>
      <c r="C29" s="1329" t="s">
        <v>1505</v>
      </c>
      <c r="D29" s="1330">
        <f>D26</f>
        <v>56300</v>
      </c>
      <c r="E29" s="1330">
        <f>E26</f>
        <v>56300</v>
      </c>
      <c r="F29" s="1330">
        <f>F27</f>
        <v>58552</v>
      </c>
      <c r="G29" s="1330">
        <f>G26</f>
        <v>58552</v>
      </c>
      <c r="H29" s="1331" t="e">
        <f>H26+#REF!</f>
        <v>#REF!</v>
      </c>
      <c r="I29" s="1255">
        <f>I26+I22</f>
        <v>60894.080000000002</v>
      </c>
    </row>
    <row r="30" spans="1:17" hidden="1">
      <c r="B30" s="1329" t="s">
        <v>1506</v>
      </c>
      <c r="C30" s="1329" t="s">
        <v>1507</v>
      </c>
      <c r="D30" s="1330">
        <f>D21+D19</f>
        <v>279389.23</v>
      </c>
      <c r="E30" s="1330">
        <f>E19+E21</f>
        <v>279389.23</v>
      </c>
      <c r="F30" s="1330">
        <f>F19+F21</f>
        <v>284203.23</v>
      </c>
      <c r="G30" s="1330">
        <f>G19+G21</f>
        <v>284203.23</v>
      </c>
      <c r="H30" s="1330">
        <f>H20</f>
        <v>50623.59</v>
      </c>
      <c r="I30" s="1255">
        <f>I29-I28</f>
        <v>-194081.21999999997</v>
      </c>
    </row>
    <row r="31" spans="1:17">
      <c r="D31" s="1318"/>
      <c r="H31" s="1255"/>
      <c r="I31" s="1255"/>
      <c r="J31" s="1255"/>
      <c r="K31" s="1255">
        <f t="shared" ref="K31:P31" si="0">K20+K23+K24+K26</f>
        <v>0</v>
      </c>
      <c r="L31" s="1255">
        <f t="shared" si="0"/>
        <v>0</v>
      </c>
      <c r="M31" s="1255">
        <f t="shared" si="0"/>
        <v>0</v>
      </c>
      <c r="N31" s="1255">
        <f t="shared" si="0"/>
        <v>0</v>
      </c>
      <c r="O31" s="1255">
        <f t="shared" si="0"/>
        <v>0</v>
      </c>
      <c r="P31" s="1255">
        <f t="shared" si="0"/>
        <v>0</v>
      </c>
    </row>
    <row r="32" spans="1:17">
      <c r="G32" s="1318">
        <f>F30-G30</f>
        <v>0</v>
      </c>
      <c r="H32" s="1318"/>
    </row>
    <row r="33" spans="2:4" ht="15.75">
      <c r="B33" s="1332" t="s">
        <v>1508</v>
      </c>
      <c r="D33" s="1318"/>
    </row>
    <row r="34" spans="2:4" ht="15.75">
      <c r="B34" s="1332" t="s">
        <v>1509</v>
      </c>
      <c r="C34" s="1332"/>
    </row>
    <row r="35" spans="2:4">
      <c r="B35" s="1209" t="s">
        <v>1510</v>
      </c>
    </row>
  </sheetData>
  <mergeCells count="21">
    <mergeCell ref="H18:J18"/>
    <mergeCell ref="A21:A24"/>
    <mergeCell ref="B21:B24"/>
    <mergeCell ref="F1:G1"/>
    <mergeCell ref="B6:C6"/>
    <mergeCell ref="D6:E6"/>
    <mergeCell ref="F6:G6"/>
    <mergeCell ref="H7:J7"/>
    <mergeCell ref="A8:A9"/>
    <mergeCell ref="B8:B9"/>
    <mergeCell ref="D17:E17"/>
    <mergeCell ref="F17:G17"/>
    <mergeCell ref="A25:A27"/>
    <mergeCell ref="B25:B26"/>
    <mergeCell ref="B27:C27"/>
    <mergeCell ref="A10:A13"/>
    <mergeCell ref="B10:B12"/>
    <mergeCell ref="B13:C13"/>
    <mergeCell ref="B17:C17"/>
    <mergeCell ref="A18:A20"/>
    <mergeCell ref="B18:B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8"/>
  <sheetViews>
    <sheetView topLeftCell="A4" workbookViewId="0">
      <selection activeCell="C83" sqref="C83"/>
    </sheetView>
  </sheetViews>
  <sheetFormatPr defaultRowHeight="15"/>
  <cols>
    <col min="2" max="2" width="14.28515625" customWidth="1"/>
    <col min="3" max="3" width="37.28515625" customWidth="1"/>
  </cols>
  <sheetData>
    <row r="2" spans="2:11" ht="21">
      <c r="B2" s="1715" t="s">
        <v>1756</v>
      </c>
      <c r="C2" s="1716"/>
      <c r="D2" s="1374" t="s">
        <v>1537</v>
      </c>
      <c r="E2" s="1375" t="s">
        <v>1538</v>
      </c>
      <c r="F2" s="1376" t="s">
        <v>1539</v>
      </c>
      <c r="G2" s="1376" t="s">
        <v>1540</v>
      </c>
      <c r="H2" s="1377"/>
      <c r="I2" s="1378" t="s">
        <v>1538</v>
      </c>
      <c r="J2" s="1378" t="s">
        <v>1539</v>
      </c>
      <c r="K2" s="1378" t="s">
        <v>1540</v>
      </c>
    </row>
    <row r="3" spans="2:11">
      <c r="B3" s="1715"/>
      <c r="C3" s="1716"/>
      <c r="D3" s="1374"/>
      <c r="E3" s="1717"/>
      <c r="F3" s="1718"/>
      <c r="G3" s="1718"/>
      <c r="H3" s="1377"/>
      <c r="I3" s="1719"/>
      <c r="J3" s="1720"/>
      <c r="K3" s="1720"/>
    </row>
    <row r="4" spans="2:11">
      <c r="B4" s="1379"/>
      <c r="C4" s="1380"/>
      <c r="D4" s="1380"/>
      <c r="E4" s="1381"/>
      <c r="F4" s="1381"/>
      <c r="G4" s="1381"/>
      <c r="H4" s="1380"/>
      <c r="I4" s="1381" t="e">
        <f>I6 &amp; "_" &amp;#REF!</f>
        <v>#REF!</v>
      </c>
      <c r="J4" s="1381" t="e">
        <f>J6 &amp; "_" &amp;#REF!</f>
        <v>#REF!</v>
      </c>
      <c r="K4" s="1381" t="e">
        <f>K6 &amp; "_" &amp;#REF!</f>
        <v>#REF!</v>
      </c>
    </row>
    <row r="5" spans="2:11">
      <c r="B5" s="1382"/>
      <c r="C5" s="1382"/>
      <c r="D5" s="1382"/>
      <c r="E5" s="1382"/>
      <c r="F5" s="1382"/>
      <c r="G5" s="1382"/>
      <c r="H5" s="1383"/>
      <c r="I5" s="1384"/>
      <c r="J5" s="1384"/>
      <c r="K5" s="1384"/>
    </row>
    <row r="6" spans="2:11">
      <c r="B6" s="1385"/>
      <c r="C6" s="1385"/>
      <c r="D6" s="1385"/>
      <c r="E6" s="1386"/>
      <c r="F6" s="1386"/>
      <c r="G6" s="1386"/>
      <c r="H6" s="1387"/>
      <c r="I6" s="1381">
        <f>I8</f>
        <v>1</v>
      </c>
      <c r="J6" s="1381">
        <f>I8</f>
        <v>1</v>
      </c>
      <c r="K6" s="1381">
        <f>I8</f>
        <v>1</v>
      </c>
    </row>
    <row r="7" spans="2:11">
      <c r="B7" s="1388"/>
      <c r="C7" s="1389"/>
      <c r="D7" s="1389"/>
      <c r="E7" s="1380"/>
      <c r="F7" s="1380"/>
      <c r="G7" s="1380"/>
      <c r="H7" s="1380"/>
      <c r="I7" s="1721" t="s">
        <v>1541</v>
      </c>
      <c r="J7" s="1721"/>
      <c r="K7" s="1721"/>
    </row>
    <row r="8" spans="2:11">
      <c r="B8" s="1722" t="s">
        <v>539</v>
      </c>
      <c r="C8" s="1723" t="s">
        <v>1542</v>
      </c>
      <c r="D8" s="1723" t="s">
        <v>3</v>
      </c>
      <c r="E8" s="1724" t="s">
        <v>1543</v>
      </c>
      <c r="F8" s="1725"/>
      <c r="G8" s="1725"/>
      <c r="H8" s="1390">
        <v>0</v>
      </c>
      <c r="I8" s="1728">
        <v>1</v>
      </c>
      <c r="J8" s="1728"/>
      <c r="K8" s="1728"/>
    </row>
    <row r="9" spans="2:11">
      <c r="B9" s="1722"/>
      <c r="C9" s="1723"/>
      <c r="D9" s="1723"/>
      <c r="E9" s="1726"/>
      <c r="F9" s="1727"/>
      <c r="G9" s="1727"/>
      <c r="H9" s="1391"/>
      <c r="I9" s="1729" t="str">
        <f>IF('[10]Список территорий'!$I$16="","Не определено",'[10]Список территорий'!$G$16 &amp; " / " &amp; '[10]Список территорий'!$H$16 &amp; " / " &amp; '[10]Список территорий'!$I$16)</f>
        <v>Городской округ Советский / Городской округ Советский / 27730000</v>
      </c>
      <c r="J9" s="1730"/>
      <c r="K9" s="1730"/>
    </row>
    <row r="10" spans="2:11">
      <c r="B10" s="1392"/>
      <c r="C10" s="1393" t="s">
        <v>18</v>
      </c>
      <c r="D10" s="1393"/>
      <c r="E10" s="1394"/>
      <c r="F10" s="1395"/>
      <c r="G10" s="1395"/>
      <c r="H10" s="1396"/>
      <c r="I10" s="1711" t="str">
        <f>IF('[10]Список территорий'!$M$16="","Не определено",'[10]Список территорий'!$M$16)</f>
        <v>да</v>
      </c>
      <c r="J10" s="1712"/>
      <c r="K10" s="1712"/>
    </row>
    <row r="11" spans="2:11" ht="31.5">
      <c r="B11" s="1397"/>
      <c r="C11" s="1398" t="s">
        <v>1544</v>
      </c>
      <c r="D11" s="1399"/>
      <c r="E11" s="1394"/>
      <c r="F11" s="1395"/>
      <c r="G11" s="1395"/>
      <c r="H11" s="1396"/>
      <c r="I11" s="1713"/>
      <c r="J11" s="1714"/>
      <c r="K11" s="1714"/>
    </row>
    <row r="12" spans="2:11">
      <c r="B12" s="1400"/>
      <c r="C12" s="1401"/>
      <c r="D12" s="1402"/>
      <c r="E12" s="1403"/>
      <c r="F12" s="1403"/>
      <c r="G12" s="1403"/>
      <c r="H12" s="1396"/>
      <c r="I12" s="1404"/>
      <c r="J12" s="1404"/>
      <c r="K12" s="1404"/>
    </row>
    <row r="13" spans="2:11">
      <c r="B13" s="1400"/>
      <c r="C13" s="1401"/>
      <c r="D13" s="1402"/>
      <c r="E13" s="1403"/>
      <c r="F13" s="1403"/>
      <c r="G13" s="1403"/>
      <c r="H13" s="1396"/>
      <c r="I13" s="1404"/>
      <c r="J13" s="1404"/>
      <c r="K13" s="1404"/>
    </row>
    <row r="14" spans="2:11">
      <c r="B14" s="1405" t="s">
        <v>26</v>
      </c>
      <c r="C14" s="1406" t="s">
        <v>686</v>
      </c>
      <c r="D14" s="1407" t="s">
        <v>22</v>
      </c>
      <c r="E14" s="1408">
        <f>SUMIF($AS$9:$AW$9,E$9,$AS14:$AW14)</f>
        <v>0</v>
      </c>
      <c r="F14" s="1408">
        <f>SUMIF($AS$9:$AW$9,F$9,$AS14:$AW14)</f>
        <v>0</v>
      </c>
      <c r="G14" s="1408">
        <f>SUMIF($AS$9:$AW$9,G$9,$AS14:$AW14)</f>
        <v>0</v>
      </c>
      <c r="H14" s="1396"/>
      <c r="I14" s="1408" t="e">
        <f>J14+K14</f>
        <v>#VALUE!</v>
      </c>
      <c r="J14" s="1409" t="e">
        <f>SUM(J16,J53,J81,J335)</f>
        <v>#VALUE!</v>
      </c>
      <c r="K14" s="1409" t="e">
        <f>SUM(K16,K53,K81,K335)</f>
        <v>#VALUE!</v>
      </c>
    </row>
    <row r="15" spans="2:11">
      <c r="B15" s="1400"/>
      <c r="C15" s="1401"/>
      <c r="D15" s="1402"/>
      <c r="E15" s="1403"/>
      <c r="F15" s="1403"/>
      <c r="G15" s="1403"/>
      <c r="H15" s="1396"/>
      <c r="I15" s="1404"/>
      <c r="J15" s="1404"/>
      <c r="K15" s="1404"/>
    </row>
    <row r="16" spans="2:11">
      <c r="B16" s="1410" t="s">
        <v>1545</v>
      </c>
      <c r="C16" s="1411" t="s">
        <v>1546</v>
      </c>
      <c r="D16" s="1407" t="s">
        <v>22</v>
      </c>
      <c r="E16" s="1408">
        <f>SUMIF($AS$9:$AW$9,E$9,$AS16:$AW16)</f>
        <v>0</v>
      </c>
      <c r="F16" s="1408">
        <f>SUMIF($AS$9:$AW$9,F$9,$AS16:$AW16)</f>
        <v>0</v>
      </c>
      <c r="G16" s="1408">
        <f>SUMIF($AS$9:$AW$9,G$9,$AS16:$AW16)</f>
        <v>0</v>
      </c>
      <c r="H16" s="1396"/>
      <c r="I16" s="1408" t="e">
        <f>J16+K16</f>
        <v>#VALUE!</v>
      </c>
      <c r="J16" s="1409" t="e">
        <f>SUMIF([10]Р!$AO$28:$AO$63,[10]Р!$AO$27,[10]Р!J$28:J$63)</f>
        <v>#VALUE!</v>
      </c>
      <c r="K16" s="1409" t="e">
        <f>SUMIF([10]Р!$AO$28:$AO$63,[10]Р!$AO$27,[10]Р!K$28:K$63)</f>
        <v>#VALUE!</v>
      </c>
    </row>
    <row r="17" spans="2:11">
      <c r="B17" s="1400"/>
      <c r="C17" s="1401"/>
      <c r="D17" s="1402"/>
      <c r="E17" s="1403"/>
      <c r="F17" s="1403"/>
      <c r="G17" s="1403"/>
      <c r="H17" s="1396"/>
      <c r="I17" s="1404"/>
      <c r="J17" s="1404"/>
      <c r="K17" s="1404"/>
    </row>
    <row r="18" spans="2:11" ht="21">
      <c r="B18" s="1410" t="s">
        <v>1547</v>
      </c>
      <c r="C18" s="1412" t="s">
        <v>1548</v>
      </c>
      <c r="D18" s="1407" t="s">
        <v>22</v>
      </c>
      <c r="E18" s="1408">
        <f>SUMIF($AS$9:$AW$9,E$9,$AS18:$AW18)</f>
        <v>0</v>
      </c>
      <c r="F18" s="1408">
        <f>SUMIF($AS$9:$AW$9,F$9,$AS18:$AW18)</f>
        <v>0</v>
      </c>
      <c r="G18" s="1408">
        <f>SUMIF($AS$9:$AW$9,G$9,$AS18:$AW18)</f>
        <v>0</v>
      </c>
      <c r="H18" s="1396"/>
      <c r="I18" s="1413"/>
      <c r="J18" s="1414"/>
      <c r="K18" s="1414"/>
    </row>
    <row r="19" spans="2:11">
      <c r="B19" s="1415" t="str">
        <f>B18 &amp; ".P"</f>
        <v>HDSFAL.P</v>
      </c>
      <c r="C19" s="1416" t="s">
        <v>28</v>
      </c>
      <c r="D19" s="1407" t="s">
        <v>29</v>
      </c>
      <c r="E19" s="1408">
        <f>IF(E20=0,0,E18*1000/E20)</f>
        <v>0</v>
      </c>
      <c r="F19" s="1408">
        <f>IF(F20=0,0,F18*1000/F20)</f>
        <v>0</v>
      </c>
      <c r="G19" s="1408">
        <f>IF(G20=0,0,G18*1000/G20)</f>
        <v>0</v>
      </c>
      <c r="H19" s="1396"/>
      <c r="I19" s="1413"/>
      <c r="J19" s="1414"/>
      <c r="K19" s="1414"/>
    </row>
    <row r="20" spans="2:11">
      <c r="B20" s="1415" t="str">
        <f>B18 &amp; ".V"</f>
        <v>HDSFAL.V</v>
      </c>
      <c r="C20" s="1416" t="s">
        <v>603</v>
      </c>
      <c r="D20" s="1407" t="s">
        <v>31</v>
      </c>
      <c r="E20" s="1408">
        <f t="shared" ref="E20:G21" si="0">SUMIF($AS$9:$AW$9,E$9,$AS20:$AW20)</f>
        <v>0</v>
      </c>
      <c r="F20" s="1408">
        <f t="shared" si="0"/>
        <v>0</v>
      </c>
      <c r="G20" s="1408">
        <f t="shared" si="0"/>
        <v>0</v>
      </c>
      <c r="H20" s="1396"/>
      <c r="I20" s="1414"/>
      <c r="J20" s="1414"/>
      <c r="K20" s="1414"/>
    </row>
    <row r="21" spans="2:11">
      <c r="B21" s="1410" t="s">
        <v>1549</v>
      </c>
      <c r="C21" s="1412" t="s">
        <v>1550</v>
      </c>
      <c r="D21" s="1407" t="s">
        <v>22</v>
      </c>
      <c r="E21" s="1408">
        <f t="shared" si="0"/>
        <v>0</v>
      </c>
      <c r="F21" s="1408">
        <f t="shared" si="0"/>
        <v>0</v>
      </c>
      <c r="G21" s="1408">
        <f t="shared" si="0"/>
        <v>0</v>
      </c>
      <c r="H21" s="1396"/>
      <c r="I21" s="1413"/>
      <c r="J21" s="1414"/>
      <c r="K21" s="1414"/>
    </row>
    <row r="22" spans="2:11">
      <c r="B22" s="1415" t="str">
        <f>B21 &amp; ".P"</f>
        <v>FES.P</v>
      </c>
      <c r="C22" s="1416" t="s">
        <v>28</v>
      </c>
      <c r="D22" s="1407" t="s">
        <v>29</v>
      </c>
      <c r="E22" s="1408">
        <f>IF(E23=0,0,E21*1000/E23)</f>
        <v>0</v>
      </c>
      <c r="F22" s="1408">
        <f>IF(F23=0,0,F21*1000/F23)</f>
        <v>0</v>
      </c>
      <c r="G22" s="1408">
        <f>IF(G23=0,0,G21*1000/G23)</f>
        <v>0</v>
      </c>
      <c r="H22" s="1396"/>
      <c r="I22" s="1413"/>
      <c r="J22" s="1414"/>
      <c r="K22" s="1414"/>
    </row>
    <row r="23" spans="2:11">
      <c r="B23" s="1415" t="str">
        <f>B21 &amp; ".V"</f>
        <v>FES.V</v>
      </c>
      <c r="C23" s="1416" t="s">
        <v>603</v>
      </c>
      <c r="D23" s="1407" t="s">
        <v>31</v>
      </c>
      <c r="E23" s="1408">
        <f t="shared" ref="E23:G24" si="1">SUMIF($AS$9:$AW$9,E$9,$AS23:$AW23)</f>
        <v>0</v>
      </c>
      <c r="F23" s="1408">
        <f t="shared" si="1"/>
        <v>0</v>
      </c>
      <c r="G23" s="1408">
        <f t="shared" si="1"/>
        <v>0</v>
      </c>
      <c r="H23" s="1396"/>
      <c r="I23" s="1414"/>
      <c r="J23" s="1414"/>
      <c r="K23" s="1414"/>
    </row>
    <row r="24" spans="2:11">
      <c r="B24" s="1410" t="s">
        <v>1551</v>
      </c>
      <c r="C24" s="1412" t="s">
        <v>1552</v>
      </c>
      <c r="D24" s="1407" t="s">
        <v>22</v>
      </c>
      <c r="E24" s="1408">
        <f t="shared" si="1"/>
        <v>0</v>
      </c>
      <c r="F24" s="1408">
        <f t="shared" si="1"/>
        <v>0</v>
      </c>
      <c r="G24" s="1408">
        <f t="shared" si="1"/>
        <v>0</v>
      </c>
      <c r="H24" s="1396"/>
      <c r="I24" s="1413"/>
      <c r="J24" s="1414"/>
      <c r="K24" s="1414"/>
    </row>
    <row r="25" spans="2:11">
      <c r="B25" s="1415" t="str">
        <f>B24 &amp; ".P"</f>
        <v>OXCLAL.P</v>
      </c>
      <c r="C25" s="1416" t="s">
        <v>28</v>
      </c>
      <c r="D25" s="1407" t="s">
        <v>29</v>
      </c>
      <c r="E25" s="1408">
        <f>IF(E26=0,0,E24*1000/E26)</f>
        <v>0</v>
      </c>
      <c r="F25" s="1408">
        <f>IF(F26=0,0,F24*1000/F26)</f>
        <v>0</v>
      </c>
      <c r="G25" s="1408">
        <f>IF(G26=0,0,G24*1000/G26)</f>
        <v>0</v>
      </c>
      <c r="H25" s="1396"/>
      <c r="I25" s="1413"/>
      <c r="J25" s="1414"/>
      <c r="K25" s="1414"/>
    </row>
    <row r="26" spans="2:11">
      <c r="B26" s="1415" t="str">
        <f>B24 &amp; ".V"</f>
        <v>OXCLAL.V</v>
      </c>
      <c r="C26" s="1416" t="s">
        <v>603</v>
      </c>
      <c r="D26" s="1407" t="s">
        <v>31</v>
      </c>
      <c r="E26" s="1408">
        <f t="shared" ref="E26:G36" si="2">SUMIF($AS$9:$AW$9,E$9,$AS26:$AW26)</f>
        <v>0</v>
      </c>
      <c r="F26" s="1408">
        <f t="shared" si="2"/>
        <v>0</v>
      </c>
      <c r="G26" s="1408">
        <f t="shared" si="2"/>
        <v>0</v>
      </c>
      <c r="H26" s="1396"/>
      <c r="I26" s="1414"/>
      <c r="J26" s="1414"/>
      <c r="K26" s="1414"/>
    </row>
    <row r="27" spans="2:11">
      <c r="B27" s="1417" t="s">
        <v>1553</v>
      </c>
      <c r="C27" s="1412" t="s">
        <v>1554</v>
      </c>
      <c r="D27" s="1407" t="s">
        <v>22</v>
      </c>
      <c r="E27" s="1408">
        <f t="shared" si="2"/>
        <v>0</v>
      </c>
      <c r="F27" s="1408">
        <f t="shared" si="2"/>
        <v>0</v>
      </c>
      <c r="G27" s="1408">
        <f t="shared" si="2"/>
        <v>0</v>
      </c>
      <c r="H27" s="1396"/>
      <c r="I27" s="1413"/>
      <c r="J27" s="1414"/>
      <c r="K27" s="1414"/>
    </row>
    <row r="28" spans="2:11">
      <c r="B28" s="1418" t="str">
        <f>B27 &amp; ".P"</f>
        <v>OXCLAL10.P</v>
      </c>
      <c r="C28" s="1416" t="s">
        <v>28</v>
      </c>
      <c r="D28" s="1407" t="s">
        <v>29</v>
      </c>
      <c r="E28" s="1408">
        <f>IF(E29=0,0,E27*1000/E29)</f>
        <v>0</v>
      </c>
      <c r="F28" s="1408">
        <f>IF(F29=0,0,F27*1000/F29)</f>
        <v>0</v>
      </c>
      <c r="G28" s="1408">
        <f>IF(G29=0,0,G27*1000/G29)</f>
        <v>0</v>
      </c>
      <c r="H28" s="1396"/>
      <c r="I28" s="1413"/>
      <c r="J28" s="1414"/>
      <c r="K28" s="1414"/>
    </row>
    <row r="29" spans="2:11">
      <c r="B29" s="1418" t="str">
        <f>B27 &amp; ".V"</f>
        <v>OXCLAL10.V</v>
      </c>
      <c r="C29" s="1416" t="s">
        <v>603</v>
      </c>
      <c r="D29" s="1407" t="s">
        <v>31</v>
      </c>
      <c r="E29" s="1408">
        <f t="shared" si="2"/>
        <v>0</v>
      </c>
      <c r="F29" s="1408">
        <f t="shared" si="2"/>
        <v>0</v>
      </c>
      <c r="G29" s="1408">
        <f t="shared" si="2"/>
        <v>0</v>
      </c>
      <c r="H29" s="1396"/>
      <c r="I29" s="1414"/>
      <c r="J29" s="1414"/>
      <c r="K29" s="1414"/>
    </row>
    <row r="30" spans="2:11">
      <c r="B30" s="1417" t="s">
        <v>1555</v>
      </c>
      <c r="C30" s="1412" t="s">
        <v>1556</v>
      </c>
      <c r="D30" s="1407" t="s">
        <v>22</v>
      </c>
      <c r="E30" s="1408">
        <f t="shared" si="2"/>
        <v>0</v>
      </c>
      <c r="F30" s="1408">
        <f t="shared" si="2"/>
        <v>0</v>
      </c>
      <c r="G30" s="1408">
        <f t="shared" si="2"/>
        <v>0</v>
      </c>
      <c r="H30" s="1396"/>
      <c r="I30" s="1413"/>
      <c r="J30" s="1414"/>
      <c r="K30" s="1414"/>
    </row>
    <row r="31" spans="2:11">
      <c r="B31" s="1418" t="str">
        <f>B30 &amp; ".P"</f>
        <v>OXCLAL18.P</v>
      </c>
      <c r="C31" s="1416" t="s">
        <v>28</v>
      </c>
      <c r="D31" s="1407" t="s">
        <v>29</v>
      </c>
      <c r="E31" s="1408">
        <f>IF(E32=0,0,E30*1000/E32)</f>
        <v>0</v>
      </c>
      <c r="F31" s="1408">
        <f>IF(F32=0,0,F30*1000/F32)</f>
        <v>0</v>
      </c>
      <c r="G31" s="1408">
        <f>IF(G32=0,0,G30*1000/G32)</f>
        <v>0</v>
      </c>
      <c r="H31" s="1396"/>
      <c r="I31" s="1413"/>
      <c r="J31" s="1414"/>
      <c r="K31" s="1414"/>
    </row>
    <row r="32" spans="2:11">
      <c r="B32" s="1418" t="str">
        <f>B30 &amp; ".V"</f>
        <v>OXCLAL18.V</v>
      </c>
      <c r="C32" s="1416" t="s">
        <v>603</v>
      </c>
      <c r="D32" s="1407" t="s">
        <v>31</v>
      </c>
      <c r="E32" s="1408">
        <f t="shared" si="2"/>
        <v>0</v>
      </c>
      <c r="F32" s="1408">
        <f t="shared" si="2"/>
        <v>0</v>
      </c>
      <c r="G32" s="1408">
        <f t="shared" si="2"/>
        <v>0</v>
      </c>
      <c r="H32" s="1396"/>
      <c r="I32" s="1414"/>
      <c r="J32" s="1414"/>
      <c r="K32" s="1414"/>
    </row>
    <row r="33" spans="2:11">
      <c r="B33" s="1417" t="s">
        <v>1557</v>
      </c>
      <c r="C33" s="1412" t="s">
        <v>1558</v>
      </c>
      <c r="D33" s="1407" t="s">
        <v>22</v>
      </c>
      <c r="E33" s="1408">
        <f t="shared" si="2"/>
        <v>0</v>
      </c>
      <c r="F33" s="1408">
        <f t="shared" si="2"/>
        <v>0</v>
      </c>
      <c r="G33" s="1408">
        <f t="shared" si="2"/>
        <v>0</v>
      </c>
      <c r="H33" s="1396"/>
      <c r="I33" s="1413"/>
      <c r="J33" s="1414"/>
      <c r="K33" s="1414"/>
    </row>
    <row r="34" spans="2:11">
      <c r="B34" s="1418" t="str">
        <f>B33 &amp; ".P"</f>
        <v>OXCLAL30.P</v>
      </c>
      <c r="C34" s="1416" t="s">
        <v>28</v>
      </c>
      <c r="D34" s="1407" t="s">
        <v>29</v>
      </c>
      <c r="E34" s="1408">
        <f>IF(E35=0,0,E33*1000/E35)</f>
        <v>0</v>
      </c>
      <c r="F34" s="1408">
        <f>IF(F35=0,0,F33*1000/F35)</f>
        <v>0</v>
      </c>
      <c r="G34" s="1408">
        <f>IF(G35=0,0,G33*1000/G35)</f>
        <v>0</v>
      </c>
      <c r="H34" s="1396"/>
      <c r="I34" s="1413"/>
      <c r="J34" s="1414"/>
      <c r="K34" s="1414"/>
    </row>
    <row r="35" spans="2:11">
      <c r="B35" s="1418" t="str">
        <f>B33 &amp; ".V"</f>
        <v>OXCLAL30.V</v>
      </c>
      <c r="C35" s="1416" t="s">
        <v>603</v>
      </c>
      <c r="D35" s="1407" t="s">
        <v>31</v>
      </c>
      <c r="E35" s="1408">
        <f t="shared" si="2"/>
        <v>0</v>
      </c>
      <c r="F35" s="1408">
        <f t="shared" si="2"/>
        <v>0</v>
      </c>
      <c r="G35" s="1408">
        <f t="shared" si="2"/>
        <v>0</v>
      </c>
      <c r="H35" s="1396"/>
      <c r="I35" s="1414"/>
      <c r="J35" s="1414"/>
      <c r="K35" s="1414"/>
    </row>
    <row r="36" spans="2:11">
      <c r="B36" s="1410" t="s">
        <v>1559</v>
      </c>
      <c r="C36" s="1412" t="s">
        <v>1560</v>
      </c>
      <c r="D36" s="1407" t="s">
        <v>22</v>
      </c>
      <c r="E36" s="1408">
        <f t="shared" si="2"/>
        <v>0</v>
      </c>
      <c r="F36" s="1408">
        <f t="shared" si="2"/>
        <v>0</v>
      </c>
      <c r="G36" s="1408">
        <f t="shared" si="2"/>
        <v>0</v>
      </c>
      <c r="H36" s="1396"/>
      <c r="I36" s="1413"/>
      <c r="J36" s="1414"/>
      <c r="K36" s="1414"/>
    </row>
    <row r="37" spans="2:11">
      <c r="B37" s="1415" t="str">
        <f>B36 &amp; ".P"</f>
        <v>PLOXCLAL.P</v>
      </c>
      <c r="C37" s="1416" t="s">
        <v>28</v>
      </c>
      <c r="D37" s="1407" t="s">
        <v>29</v>
      </c>
      <c r="E37" s="1408">
        <f>IF(E38=0,0,E36*1000/E38)</f>
        <v>0</v>
      </c>
      <c r="F37" s="1408">
        <f>IF(F38=0,0,F36*1000/F38)</f>
        <v>0</v>
      </c>
      <c r="G37" s="1408">
        <f>IF(G38=0,0,G36*1000/G38)</f>
        <v>0</v>
      </c>
      <c r="H37" s="1396"/>
      <c r="I37" s="1413"/>
      <c r="J37" s="1414"/>
      <c r="K37" s="1414"/>
    </row>
    <row r="38" spans="2:11">
      <c r="B38" s="1415" t="str">
        <f>B36 &amp; ".V"</f>
        <v>PLOXCLAL.V</v>
      </c>
      <c r="C38" s="1416" t="s">
        <v>603</v>
      </c>
      <c r="D38" s="1407" t="s">
        <v>31</v>
      </c>
      <c r="E38" s="1408">
        <f t="shared" ref="E38:G39" si="3">SUMIF($AS$9:$AW$9,E$9,$AS38:$AW38)</f>
        <v>0</v>
      </c>
      <c r="F38" s="1408">
        <f t="shared" si="3"/>
        <v>0</v>
      </c>
      <c r="G38" s="1408">
        <f t="shared" si="3"/>
        <v>0</v>
      </c>
      <c r="H38" s="1396"/>
      <c r="I38" s="1414"/>
      <c r="J38" s="1414"/>
      <c r="K38" s="1414"/>
    </row>
    <row r="39" spans="2:11">
      <c r="B39" s="1417" t="s">
        <v>1561</v>
      </c>
      <c r="C39" s="1412" t="s">
        <v>1562</v>
      </c>
      <c r="D39" s="1407" t="s">
        <v>22</v>
      </c>
      <c r="E39" s="1408">
        <f t="shared" si="3"/>
        <v>0</v>
      </c>
      <c r="F39" s="1408">
        <f t="shared" si="3"/>
        <v>0</v>
      </c>
      <c r="G39" s="1408">
        <f t="shared" si="3"/>
        <v>0</v>
      </c>
      <c r="H39" s="1396"/>
      <c r="I39" s="1413"/>
      <c r="J39" s="1414"/>
      <c r="K39" s="1414"/>
    </row>
    <row r="40" spans="2:11">
      <c r="B40" s="1418" t="str">
        <f>B39 &amp; ".P"</f>
        <v>PLOXCLAL10.P</v>
      </c>
      <c r="C40" s="1416" t="s">
        <v>28</v>
      </c>
      <c r="D40" s="1407" t="s">
        <v>29</v>
      </c>
      <c r="E40" s="1408">
        <f>IF(E41=0,0,E39*1000/E41)</f>
        <v>0</v>
      </c>
      <c r="F40" s="1408">
        <f>IF(F41=0,0,F39*1000/F41)</f>
        <v>0</v>
      </c>
      <c r="G40" s="1408">
        <f>IF(G41=0,0,G39*1000/G41)</f>
        <v>0</v>
      </c>
      <c r="H40" s="1396"/>
      <c r="I40" s="1413"/>
      <c r="J40" s="1414"/>
      <c r="K40" s="1414"/>
    </row>
    <row r="41" spans="2:11">
      <c r="B41" s="1418" t="str">
        <f>B39 &amp; ".V"</f>
        <v>PLOXCLAL10.V</v>
      </c>
      <c r="C41" s="1416" t="s">
        <v>603</v>
      </c>
      <c r="D41" s="1407" t="s">
        <v>31</v>
      </c>
      <c r="E41" s="1408">
        <f t="shared" ref="E41:G42" si="4">SUMIF($AS$9:$AW$9,E$9,$AS41:$AW41)</f>
        <v>0</v>
      </c>
      <c r="F41" s="1408">
        <f t="shared" si="4"/>
        <v>0</v>
      </c>
      <c r="G41" s="1408">
        <f t="shared" si="4"/>
        <v>0</v>
      </c>
      <c r="H41" s="1396"/>
      <c r="I41" s="1414"/>
      <c r="J41" s="1414"/>
      <c r="K41" s="1414"/>
    </row>
    <row r="42" spans="2:11">
      <c r="B42" s="1417" t="s">
        <v>1563</v>
      </c>
      <c r="C42" s="1412" t="s">
        <v>1564</v>
      </c>
      <c r="D42" s="1407" t="s">
        <v>22</v>
      </c>
      <c r="E42" s="1408">
        <f t="shared" si="4"/>
        <v>0</v>
      </c>
      <c r="F42" s="1408">
        <f t="shared" si="4"/>
        <v>0</v>
      </c>
      <c r="G42" s="1408">
        <f t="shared" si="4"/>
        <v>0</v>
      </c>
      <c r="H42" s="1396"/>
      <c r="I42" s="1413"/>
      <c r="J42" s="1414"/>
      <c r="K42" s="1414"/>
    </row>
    <row r="43" spans="2:11">
      <c r="B43" s="1418" t="str">
        <f>B42 &amp; ".P"</f>
        <v>PLOXCLAL18.P</v>
      </c>
      <c r="C43" s="1416" t="s">
        <v>28</v>
      </c>
      <c r="D43" s="1407" t="s">
        <v>29</v>
      </c>
      <c r="E43" s="1408">
        <f>IF(E44=0,0,E42*1000/E44)</f>
        <v>0</v>
      </c>
      <c r="F43" s="1408">
        <f>IF(F44=0,0,F42*1000/F44)</f>
        <v>0</v>
      </c>
      <c r="G43" s="1408">
        <f>IF(G44=0,0,G42*1000/G44)</f>
        <v>0</v>
      </c>
      <c r="H43" s="1396"/>
      <c r="I43" s="1413"/>
      <c r="J43" s="1414"/>
      <c r="K43" s="1414"/>
    </row>
    <row r="44" spans="2:11">
      <c r="B44" s="1418" t="str">
        <f>B42 &amp; ".V"</f>
        <v>PLOXCLAL18.V</v>
      </c>
      <c r="C44" s="1416" t="s">
        <v>603</v>
      </c>
      <c r="D44" s="1407" t="s">
        <v>31</v>
      </c>
      <c r="E44" s="1408">
        <f t="shared" ref="E44:G45" si="5">SUMIF($AS$9:$AW$9,E$9,$AS44:$AW44)</f>
        <v>0</v>
      </c>
      <c r="F44" s="1408">
        <f t="shared" si="5"/>
        <v>0</v>
      </c>
      <c r="G44" s="1408">
        <f t="shared" si="5"/>
        <v>0</v>
      </c>
      <c r="H44" s="1396"/>
      <c r="I44" s="1414"/>
      <c r="J44" s="1414"/>
      <c r="K44" s="1414"/>
    </row>
    <row r="45" spans="2:11">
      <c r="B45" s="1417" t="s">
        <v>1565</v>
      </c>
      <c r="C45" s="1412" t="s">
        <v>1566</v>
      </c>
      <c r="D45" s="1407" t="s">
        <v>22</v>
      </c>
      <c r="E45" s="1408">
        <f t="shared" si="5"/>
        <v>0</v>
      </c>
      <c r="F45" s="1408">
        <f t="shared" si="5"/>
        <v>0</v>
      </c>
      <c r="G45" s="1408">
        <f t="shared" si="5"/>
        <v>0</v>
      </c>
      <c r="H45" s="1396"/>
      <c r="I45" s="1413"/>
      <c r="J45" s="1414"/>
      <c r="K45" s="1414"/>
    </row>
    <row r="46" spans="2:11">
      <c r="B46" s="1418" t="str">
        <f>B45 &amp; ".P"</f>
        <v>PLOXCLAL30.P</v>
      </c>
      <c r="C46" s="1416" t="s">
        <v>28</v>
      </c>
      <c r="D46" s="1407" t="s">
        <v>29</v>
      </c>
      <c r="E46" s="1408">
        <f>IF(E47=0,0,E45*1000/E47)</f>
        <v>0</v>
      </c>
      <c r="F46" s="1408">
        <f>IF(F47=0,0,F45*1000/F47)</f>
        <v>0</v>
      </c>
      <c r="G46" s="1408">
        <f>IF(G47=0,0,G45*1000/G47)</f>
        <v>0</v>
      </c>
      <c r="H46" s="1396"/>
      <c r="I46" s="1413"/>
      <c r="J46" s="1414"/>
      <c r="K46" s="1414"/>
    </row>
    <row r="47" spans="2:11">
      <c r="B47" s="1418" t="str">
        <f>B45 &amp; ".V"</f>
        <v>PLOXCLAL30.V</v>
      </c>
      <c r="C47" s="1416" t="s">
        <v>603</v>
      </c>
      <c r="D47" s="1407" t="s">
        <v>31</v>
      </c>
      <c r="E47" s="1408">
        <f t="shared" ref="E47:G48" si="6">SUMIF($AS$9:$AW$9,E$9,$AS47:$AW47)</f>
        <v>0</v>
      </c>
      <c r="F47" s="1408">
        <f t="shared" si="6"/>
        <v>0</v>
      </c>
      <c r="G47" s="1408">
        <f t="shared" si="6"/>
        <v>0</v>
      </c>
      <c r="H47" s="1396"/>
      <c r="I47" s="1414"/>
      <c r="J47" s="1414"/>
      <c r="K47" s="1414"/>
    </row>
    <row r="48" spans="2:11">
      <c r="B48" s="1410" t="s">
        <v>1567</v>
      </c>
      <c r="C48" s="1412" t="s">
        <v>1568</v>
      </c>
      <c r="D48" s="1407" t="s">
        <v>22</v>
      </c>
      <c r="E48" s="1408">
        <f t="shared" si="6"/>
        <v>0</v>
      </c>
      <c r="F48" s="1408">
        <f t="shared" si="6"/>
        <v>0</v>
      </c>
      <c r="G48" s="1408">
        <f t="shared" si="6"/>
        <v>0</v>
      </c>
      <c r="H48" s="1396"/>
      <c r="I48" s="1413"/>
      <c r="J48" s="1414"/>
      <c r="K48" s="1414"/>
    </row>
    <row r="49" spans="2:11">
      <c r="B49" s="1415" t="str">
        <f>B48 &amp; ".P"</f>
        <v>SFAL.P</v>
      </c>
      <c r="C49" s="1416" t="s">
        <v>28</v>
      </c>
      <c r="D49" s="1407" t="s">
        <v>29</v>
      </c>
      <c r="E49" s="1408">
        <f>IF(E50=0,0,E48*1000/E50)</f>
        <v>0</v>
      </c>
      <c r="F49" s="1408">
        <f>IF(F50=0,0,F48*1000/F50)</f>
        <v>0</v>
      </c>
      <c r="G49" s="1408">
        <f>IF(G50=0,0,G48*1000/G50)</f>
        <v>0</v>
      </c>
      <c r="H49" s="1396"/>
      <c r="I49" s="1413"/>
      <c r="J49" s="1414"/>
      <c r="K49" s="1414"/>
    </row>
    <row r="50" spans="2:11">
      <c r="B50" s="1415" t="str">
        <f>B48 &amp; ".V"</f>
        <v>SFAL.V</v>
      </c>
      <c r="C50" s="1416" t="s">
        <v>603</v>
      </c>
      <c r="D50" s="1407" t="s">
        <v>31</v>
      </c>
      <c r="E50" s="1408">
        <f t="shared" ref="E50:G51" si="7">SUMIF($AS$9:$AW$9,E$9,$AS50:$AW50)</f>
        <v>0</v>
      </c>
      <c r="F50" s="1408">
        <f t="shared" si="7"/>
        <v>0</v>
      </c>
      <c r="G50" s="1408">
        <f t="shared" si="7"/>
        <v>0</v>
      </c>
      <c r="H50" s="1396"/>
      <c r="I50" s="1414"/>
      <c r="J50" s="1414"/>
      <c r="K50" s="1414"/>
    </row>
    <row r="51" spans="2:11">
      <c r="B51" s="1410" t="s">
        <v>1569</v>
      </c>
      <c r="C51" s="1412" t="s">
        <v>515</v>
      </c>
      <c r="D51" s="1407" t="s">
        <v>22</v>
      </c>
      <c r="E51" s="1408">
        <f t="shared" si="7"/>
        <v>0</v>
      </c>
      <c r="F51" s="1408">
        <f t="shared" si="7"/>
        <v>0</v>
      </c>
      <c r="G51" s="1408">
        <f t="shared" si="7"/>
        <v>0</v>
      </c>
      <c r="H51" s="1396"/>
      <c r="I51" s="1413"/>
      <c r="J51" s="1414"/>
      <c r="K51" s="1414"/>
    </row>
    <row r="52" spans="2:11">
      <c r="B52" s="1400"/>
      <c r="C52" s="1401"/>
      <c r="D52" s="1402"/>
      <c r="E52" s="1403"/>
      <c r="F52" s="1403"/>
      <c r="G52" s="1403"/>
      <c r="H52" s="1396"/>
      <c r="I52" s="1404"/>
      <c r="J52" s="1404"/>
      <c r="K52" s="1404"/>
    </row>
    <row r="53" spans="2:11">
      <c r="B53" s="1410" t="s">
        <v>1570</v>
      </c>
      <c r="C53" s="1411" t="s">
        <v>1571</v>
      </c>
      <c r="D53" s="1407" t="s">
        <v>22</v>
      </c>
      <c r="E53" s="1408">
        <f>SUMIF($AS$9:$AW$9,E$9,$AS53:$AW53)</f>
        <v>0</v>
      </c>
      <c r="F53" s="1408">
        <f>SUMIF($AS$9:$AW$9,F$9,$AS53:$AW53)</f>
        <v>0</v>
      </c>
      <c r="G53" s="1408">
        <f>SUMIF($AS$9:$AW$9,G$9,$AS53:$AW53)</f>
        <v>0</v>
      </c>
      <c r="H53" s="1396"/>
      <c r="I53" s="1408" t="e">
        <f>J53+K53</f>
        <v>#VALUE!</v>
      </c>
      <c r="J53" s="1409" t="e">
        <f>SUMIF([10]Р!$AO$65:$AO$91,[10]Р!$AO$64,[10]Р!J$65:J$91)</f>
        <v>#VALUE!</v>
      </c>
      <c r="K53" s="1409" t="e">
        <f>SUMIF([10]Р!$AO$65:$AO$91,[10]Р!$AO$64,[10]Р!K$65:K$91)</f>
        <v>#VALUE!</v>
      </c>
    </row>
    <row r="54" spans="2:11">
      <c r="B54" s="1400"/>
      <c r="C54" s="1401"/>
      <c r="D54" s="1402"/>
      <c r="E54" s="1403"/>
      <c r="F54" s="1403"/>
      <c r="G54" s="1403"/>
      <c r="H54" s="1396"/>
      <c r="I54" s="1404"/>
      <c r="J54" s="1404"/>
      <c r="K54" s="1404"/>
    </row>
    <row r="55" spans="2:11">
      <c r="B55" s="1410" t="s">
        <v>1572</v>
      </c>
      <c r="C55" s="1412" t="s">
        <v>1573</v>
      </c>
      <c r="D55" s="1407" t="s">
        <v>22</v>
      </c>
      <c r="E55" s="1408">
        <f>SUMIF($AS$9:$AW$9,E$9,$AS55:$AW55)</f>
        <v>0</v>
      </c>
      <c r="F55" s="1408">
        <f>SUMIF($AS$9:$AW$9,F$9,$AS55:$AW55)</f>
        <v>0</v>
      </c>
      <c r="G55" s="1408">
        <f>SUMIF($AS$9:$AW$9,G$9,$AS55:$AW55)</f>
        <v>0</v>
      </c>
      <c r="H55" s="1396"/>
      <c r="I55" s="1413"/>
      <c r="J55" s="1414"/>
      <c r="K55" s="1414"/>
    </row>
    <row r="56" spans="2:11">
      <c r="B56" s="1415" t="str">
        <f>B55 &amp; ".P"</f>
        <v>MGFLK.P</v>
      </c>
      <c r="C56" s="1416" t="s">
        <v>28</v>
      </c>
      <c r="D56" s="1407" t="s">
        <v>29</v>
      </c>
      <c r="E56" s="1408">
        <f>IF(E57=0,0,E55*1000/E57)</f>
        <v>0</v>
      </c>
      <c r="F56" s="1408">
        <f>IF(F57=0,0,F55*1000/F57)</f>
        <v>0</v>
      </c>
      <c r="G56" s="1408">
        <f>IF(G57=0,0,G55*1000/G57)</f>
        <v>0</v>
      </c>
      <c r="H56" s="1396"/>
      <c r="I56" s="1413"/>
      <c r="J56" s="1414"/>
      <c r="K56" s="1414"/>
    </row>
    <row r="57" spans="2:11">
      <c r="B57" s="1415" t="str">
        <f>B55 &amp; ".V"</f>
        <v>MGFLK.V</v>
      </c>
      <c r="C57" s="1416" t="s">
        <v>603</v>
      </c>
      <c r="D57" s="1407" t="s">
        <v>31</v>
      </c>
      <c r="E57" s="1408">
        <f t="shared" ref="E57:G58" si="8">SUMIF($AS$9:$AW$9,E$9,$AS57:$AW57)</f>
        <v>0</v>
      </c>
      <c r="F57" s="1408">
        <f t="shared" si="8"/>
        <v>0</v>
      </c>
      <c r="G57" s="1408">
        <f t="shared" si="8"/>
        <v>0</v>
      </c>
      <c r="H57" s="1396"/>
      <c r="I57" s="1414"/>
      <c r="J57" s="1414"/>
      <c r="K57" s="1414"/>
    </row>
    <row r="58" spans="2:11">
      <c r="B58" s="1410" t="s">
        <v>1574</v>
      </c>
      <c r="C58" s="1412" t="s">
        <v>1575</v>
      </c>
      <c r="D58" s="1407" t="s">
        <v>22</v>
      </c>
      <c r="E58" s="1408">
        <f t="shared" si="8"/>
        <v>0</v>
      </c>
      <c r="F58" s="1408">
        <f t="shared" si="8"/>
        <v>0</v>
      </c>
      <c r="G58" s="1408">
        <f t="shared" si="8"/>
        <v>0</v>
      </c>
      <c r="H58" s="1396"/>
      <c r="I58" s="1413"/>
      <c r="J58" s="1414"/>
      <c r="K58" s="1414"/>
    </row>
    <row r="59" spans="2:11">
      <c r="B59" s="1415" t="str">
        <f>B58 &amp; ".P"</f>
        <v>PRSTL.P</v>
      </c>
      <c r="C59" s="1416" t="s">
        <v>28</v>
      </c>
      <c r="D59" s="1407" t="s">
        <v>29</v>
      </c>
      <c r="E59" s="1408">
        <f>IF(E60=0,0,E58*1000/E60)</f>
        <v>0</v>
      </c>
      <c r="F59" s="1408">
        <f>IF(F60=0,0,F58*1000/F60)</f>
        <v>0</v>
      </c>
      <c r="G59" s="1408">
        <f>IF(G60=0,0,G58*1000/G60)</f>
        <v>0</v>
      </c>
      <c r="H59" s="1396"/>
      <c r="I59" s="1413"/>
      <c r="J59" s="1414"/>
      <c r="K59" s="1414"/>
    </row>
    <row r="60" spans="2:11">
      <c r="B60" s="1415" t="str">
        <f>B58 &amp; ".V"</f>
        <v>PRSTL.V</v>
      </c>
      <c r="C60" s="1416" t="s">
        <v>603</v>
      </c>
      <c r="D60" s="1407" t="s">
        <v>31</v>
      </c>
      <c r="E60" s="1408">
        <f t="shared" ref="E60:G61" si="9">SUMIF($AS$9:$AW$9,E$9,$AS60:$AW60)</f>
        <v>0</v>
      </c>
      <c r="F60" s="1408">
        <f t="shared" si="9"/>
        <v>0</v>
      </c>
      <c r="G60" s="1408">
        <f t="shared" si="9"/>
        <v>0</v>
      </c>
      <c r="H60" s="1396"/>
      <c r="I60" s="1414"/>
      <c r="J60" s="1414"/>
      <c r="K60" s="1414"/>
    </row>
    <row r="61" spans="2:11">
      <c r="B61" s="1418" t="s">
        <v>1576</v>
      </c>
      <c r="C61" s="1412" t="s">
        <v>1577</v>
      </c>
      <c r="D61" s="1407" t="s">
        <v>22</v>
      </c>
      <c r="E61" s="1408">
        <f t="shared" si="9"/>
        <v>0</v>
      </c>
      <c r="F61" s="1408">
        <f t="shared" si="9"/>
        <v>0</v>
      </c>
      <c r="G61" s="1408">
        <f t="shared" si="9"/>
        <v>0</v>
      </c>
      <c r="H61" s="1396"/>
      <c r="I61" s="1413"/>
      <c r="J61" s="1414"/>
      <c r="K61" s="1414"/>
    </row>
    <row r="62" spans="2:11">
      <c r="B62" s="1418" t="str">
        <f>B61 &amp; ".P"</f>
        <v>PRSTL853.P</v>
      </c>
      <c r="C62" s="1416" t="s">
        <v>28</v>
      </c>
      <c r="D62" s="1407" t="s">
        <v>29</v>
      </c>
      <c r="E62" s="1408">
        <f>IF(E63=0,0,E61*1000/E63)</f>
        <v>0</v>
      </c>
      <c r="F62" s="1408">
        <f>IF(F63=0,0,F61*1000/F63)</f>
        <v>0</v>
      </c>
      <c r="G62" s="1408">
        <f>IF(G63=0,0,G61*1000/G63)</f>
        <v>0</v>
      </c>
      <c r="H62" s="1396"/>
      <c r="I62" s="1413"/>
      <c r="J62" s="1414"/>
      <c r="K62" s="1414"/>
    </row>
    <row r="63" spans="2:11">
      <c r="B63" s="1418" t="str">
        <f>B61 &amp; ".V"</f>
        <v>PRSTL853.V</v>
      </c>
      <c r="C63" s="1416" t="s">
        <v>603</v>
      </c>
      <c r="D63" s="1407" t="s">
        <v>31</v>
      </c>
      <c r="E63" s="1408">
        <f t="shared" ref="E63:G64" si="10">SUMIF($AS$9:$AW$9,E$9,$AS63:$AW63)</f>
        <v>0</v>
      </c>
      <c r="F63" s="1408">
        <f t="shared" si="10"/>
        <v>0</v>
      </c>
      <c r="G63" s="1408">
        <f t="shared" si="10"/>
        <v>0</v>
      </c>
      <c r="H63" s="1396"/>
      <c r="I63" s="1414"/>
      <c r="J63" s="1414"/>
      <c r="K63" s="1414"/>
    </row>
    <row r="64" spans="2:11">
      <c r="B64" s="1418" t="s">
        <v>1578</v>
      </c>
      <c r="C64" s="1412" t="s">
        <v>1579</v>
      </c>
      <c r="D64" s="1407" t="s">
        <v>22</v>
      </c>
      <c r="E64" s="1408">
        <f t="shared" si="10"/>
        <v>0</v>
      </c>
      <c r="F64" s="1408">
        <f t="shared" si="10"/>
        <v>0</v>
      </c>
      <c r="G64" s="1408">
        <f t="shared" si="10"/>
        <v>0</v>
      </c>
      <c r="H64" s="1396"/>
      <c r="I64" s="1413"/>
      <c r="J64" s="1414"/>
      <c r="K64" s="1414"/>
    </row>
    <row r="65" spans="2:11">
      <c r="B65" s="1418" t="str">
        <f>B64 &amp; ".P"</f>
        <v>PRSTL650.P</v>
      </c>
      <c r="C65" s="1416" t="s">
        <v>28</v>
      </c>
      <c r="D65" s="1407" t="s">
        <v>29</v>
      </c>
      <c r="E65" s="1408">
        <f>IF(E66=0,0,E64*1000/E66)</f>
        <v>0</v>
      </c>
      <c r="F65" s="1408">
        <f>IF(F66=0,0,F64*1000/F66)</f>
        <v>0</v>
      </c>
      <c r="G65" s="1408">
        <f>IF(G66=0,0,G64*1000/G66)</f>
        <v>0</v>
      </c>
      <c r="H65" s="1396"/>
      <c r="I65" s="1413"/>
      <c r="J65" s="1414"/>
      <c r="K65" s="1414"/>
    </row>
    <row r="66" spans="2:11">
      <c r="B66" s="1418" t="str">
        <f>B64 &amp; ".V"</f>
        <v>PRSTL650.V</v>
      </c>
      <c r="C66" s="1416" t="s">
        <v>603</v>
      </c>
      <c r="D66" s="1407" t="s">
        <v>31</v>
      </c>
      <c r="E66" s="1408">
        <f t="shared" ref="E66:G67" si="11">SUMIF($AS$9:$AW$9,E$9,$AS66:$AW66)</f>
        <v>0</v>
      </c>
      <c r="F66" s="1408">
        <f t="shared" si="11"/>
        <v>0</v>
      </c>
      <c r="G66" s="1408">
        <f t="shared" si="11"/>
        <v>0</v>
      </c>
      <c r="H66" s="1396"/>
      <c r="I66" s="1414"/>
      <c r="J66" s="1414"/>
      <c r="K66" s="1414"/>
    </row>
    <row r="67" spans="2:11">
      <c r="B67" s="1418" t="s">
        <v>1580</v>
      </c>
      <c r="C67" s="1412" t="s">
        <v>1581</v>
      </c>
      <c r="D67" s="1407" t="s">
        <v>22</v>
      </c>
      <c r="E67" s="1408">
        <f t="shared" si="11"/>
        <v>0</v>
      </c>
      <c r="F67" s="1408">
        <f t="shared" si="11"/>
        <v>0</v>
      </c>
      <c r="G67" s="1408">
        <f t="shared" si="11"/>
        <v>0</v>
      </c>
      <c r="H67" s="1396"/>
      <c r="I67" s="1413"/>
      <c r="J67" s="1414"/>
      <c r="K67" s="1414"/>
    </row>
    <row r="68" spans="2:11">
      <c r="B68" s="1418" t="str">
        <f>B67 &amp; ".P"</f>
        <v>PRSTL2515.P</v>
      </c>
      <c r="C68" s="1416" t="s">
        <v>28</v>
      </c>
      <c r="D68" s="1407" t="s">
        <v>29</v>
      </c>
      <c r="E68" s="1408">
        <f>IF(E69=0,0,E67*1000/E69)</f>
        <v>0</v>
      </c>
      <c r="F68" s="1408">
        <f>IF(F69=0,0,F67*1000/F69)</f>
        <v>0</v>
      </c>
      <c r="G68" s="1408">
        <f>IF(G69=0,0,G67*1000/G69)</f>
        <v>0</v>
      </c>
      <c r="H68" s="1396"/>
      <c r="I68" s="1413"/>
      <c r="J68" s="1414"/>
      <c r="K68" s="1414"/>
    </row>
    <row r="69" spans="2:11">
      <c r="B69" s="1418" t="str">
        <f>B67 &amp; ".V"</f>
        <v>PRSTL2515.V</v>
      </c>
      <c r="C69" s="1416" t="s">
        <v>603</v>
      </c>
      <c r="D69" s="1407" t="s">
        <v>31</v>
      </c>
      <c r="E69" s="1408">
        <f t="shared" ref="E69:G70" si="12">SUMIF($AS$9:$AW$9,E$9,$AS69:$AW69)</f>
        <v>0</v>
      </c>
      <c r="F69" s="1408">
        <f t="shared" si="12"/>
        <v>0</v>
      </c>
      <c r="G69" s="1408">
        <f t="shared" si="12"/>
        <v>0</v>
      </c>
      <c r="H69" s="1396"/>
      <c r="I69" s="1414"/>
      <c r="J69" s="1414"/>
      <c r="K69" s="1414"/>
    </row>
    <row r="70" spans="2:11">
      <c r="B70" s="1418" t="s">
        <v>1582</v>
      </c>
      <c r="C70" s="1412" t="s">
        <v>1583</v>
      </c>
      <c r="D70" s="1407" t="s">
        <v>22</v>
      </c>
      <c r="E70" s="1408">
        <f t="shared" si="12"/>
        <v>0</v>
      </c>
      <c r="F70" s="1408">
        <f t="shared" si="12"/>
        <v>0</v>
      </c>
      <c r="G70" s="1408">
        <f t="shared" si="12"/>
        <v>0</v>
      </c>
      <c r="H70" s="1396"/>
      <c r="I70" s="1413"/>
      <c r="J70" s="1414"/>
      <c r="K70" s="1414"/>
    </row>
    <row r="71" spans="2:11">
      <c r="B71" s="1418" t="str">
        <f>B70 &amp; ".P"</f>
        <v>GRLIFEK47.P</v>
      </c>
      <c r="C71" s="1416" t="s">
        <v>28</v>
      </c>
      <c r="D71" s="1407" t="s">
        <v>29</v>
      </c>
      <c r="E71" s="1408">
        <f>IF(E72=0,0,E70*1000/E72)</f>
        <v>0</v>
      </c>
      <c r="F71" s="1408">
        <f>IF(F72=0,0,F70*1000/F72)</f>
        <v>0</v>
      </c>
      <c r="G71" s="1408">
        <f>IF(G72=0,0,G70*1000/G72)</f>
        <v>0</v>
      </c>
      <c r="H71" s="1396"/>
      <c r="I71" s="1413"/>
      <c r="J71" s="1414"/>
      <c r="K71" s="1414"/>
    </row>
    <row r="72" spans="2:11">
      <c r="B72" s="1418" t="str">
        <f>B70 &amp; ".V"</f>
        <v>GRLIFEK47.V</v>
      </c>
      <c r="C72" s="1416" t="s">
        <v>603</v>
      </c>
      <c r="D72" s="1407" t="s">
        <v>31</v>
      </c>
      <c r="E72" s="1408">
        <f t="shared" ref="E72:G73" si="13">SUMIF($AS$9:$AW$9,E$9,$AS72:$AW72)</f>
        <v>0</v>
      </c>
      <c r="F72" s="1408">
        <f t="shared" si="13"/>
        <v>0</v>
      </c>
      <c r="G72" s="1408">
        <f t="shared" si="13"/>
        <v>0</v>
      </c>
      <c r="H72" s="1396"/>
      <c r="I72" s="1414"/>
      <c r="J72" s="1414"/>
      <c r="K72" s="1414"/>
    </row>
    <row r="73" spans="2:11">
      <c r="B73" s="1418" t="s">
        <v>1584</v>
      </c>
      <c r="C73" s="1412" t="s">
        <v>1585</v>
      </c>
      <c r="D73" s="1407" t="s">
        <v>22</v>
      </c>
      <c r="E73" s="1408">
        <f t="shared" si="13"/>
        <v>0</v>
      </c>
      <c r="F73" s="1408">
        <f t="shared" si="13"/>
        <v>0</v>
      </c>
      <c r="G73" s="1408">
        <f t="shared" si="13"/>
        <v>0</v>
      </c>
      <c r="H73" s="1396"/>
      <c r="I73" s="1413"/>
      <c r="J73" s="1414"/>
      <c r="K73" s="1414"/>
    </row>
    <row r="74" spans="2:11">
      <c r="B74" s="1418" t="str">
        <f>B73 &amp; ".P"</f>
        <v>GRLIFEK41.P</v>
      </c>
      <c r="C74" s="1416" t="s">
        <v>28</v>
      </c>
      <c r="D74" s="1407" t="s">
        <v>29</v>
      </c>
      <c r="E74" s="1408">
        <f>IF(E75=0,0,E73*1000/E75)</f>
        <v>0</v>
      </c>
      <c r="F74" s="1408">
        <f>IF(F75=0,0,F73*1000/F75)</f>
        <v>0</v>
      </c>
      <c r="G74" s="1408">
        <f>IF(G75=0,0,G73*1000/G75)</f>
        <v>0</v>
      </c>
      <c r="H74" s="1396"/>
      <c r="I74" s="1413"/>
      <c r="J74" s="1414"/>
      <c r="K74" s="1414"/>
    </row>
    <row r="75" spans="2:11">
      <c r="B75" s="1418" t="str">
        <f>B73 &amp; ".V"</f>
        <v>GRLIFEK41.V</v>
      </c>
      <c r="C75" s="1416" t="s">
        <v>603</v>
      </c>
      <c r="D75" s="1407" t="s">
        <v>31</v>
      </c>
      <c r="E75" s="1408">
        <f t="shared" ref="E75:G76" si="14">SUMIF($AS$9:$AW$9,E$9,$AS75:$AW75)</f>
        <v>0</v>
      </c>
      <c r="F75" s="1408">
        <f t="shared" si="14"/>
        <v>0</v>
      </c>
      <c r="G75" s="1408">
        <f t="shared" si="14"/>
        <v>0</v>
      </c>
      <c r="H75" s="1396"/>
      <c r="I75" s="1414"/>
      <c r="J75" s="1414"/>
      <c r="K75" s="1414"/>
    </row>
    <row r="76" spans="2:11">
      <c r="B76" s="1418" t="s">
        <v>1586</v>
      </c>
      <c r="C76" s="1412" t="s">
        <v>1587</v>
      </c>
      <c r="D76" s="1407" t="s">
        <v>22</v>
      </c>
      <c r="E76" s="1408">
        <f t="shared" si="14"/>
        <v>0</v>
      </c>
      <c r="F76" s="1408">
        <f t="shared" si="14"/>
        <v>0</v>
      </c>
      <c r="G76" s="1408">
        <f t="shared" si="14"/>
        <v>0</v>
      </c>
      <c r="H76" s="1396"/>
      <c r="I76" s="1413"/>
      <c r="J76" s="1414"/>
      <c r="K76" s="1414"/>
    </row>
    <row r="77" spans="2:11">
      <c r="B77" s="1418" t="str">
        <f>B76 &amp; ".P"</f>
        <v>GRLIFEA10PV.P</v>
      </c>
      <c r="C77" s="1416" t="s">
        <v>28</v>
      </c>
      <c r="D77" s="1407" t="s">
        <v>29</v>
      </c>
      <c r="E77" s="1408">
        <f>IF(E78=0,0,E76*1000/E78)</f>
        <v>0</v>
      </c>
      <c r="F77" s="1408">
        <f>IF(F78=0,0,F76*1000/F78)</f>
        <v>0</v>
      </c>
      <c r="G77" s="1408">
        <f>IF(G78=0,0,G76*1000/G78)</f>
        <v>0</v>
      </c>
      <c r="H77" s="1396"/>
      <c r="I77" s="1413"/>
      <c r="J77" s="1414"/>
      <c r="K77" s="1414"/>
    </row>
    <row r="78" spans="2:11">
      <c r="B78" s="1418" t="str">
        <f>B76 &amp; ".V"</f>
        <v>GRLIFEA10PV.V</v>
      </c>
      <c r="C78" s="1416" t="s">
        <v>603</v>
      </c>
      <c r="D78" s="1407" t="s">
        <v>31</v>
      </c>
      <c r="E78" s="1408">
        <f t="shared" ref="E78:G79" si="15">SUMIF($AS$9:$AW$9,E$9,$AS78:$AW78)</f>
        <v>0</v>
      </c>
      <c r="F78" s="1408">
        <f t="shared" si="15"/>
        <v>0</v>
      </c>
      <c r="G78" s="1408">
        <f t="shared" si="15"/>
        <v>0</v>
      </c>
      <c r="H78" s="1396"/>
      <c r="I78" s="1414"/>
      <c r="J78" s="1414"/>
      <c r="K78" s="1414"/>
    </row>
    <row r="79" spans="2:11">
      <c r="B79" s="1410" t="s">
        <v>1569</v>
      </c>
      <c r="C79" s="1412" t="s">
        <v>515</v>
      </c>
      <c r="D79" s="1407" t="s">
        <v>22</v>
      </c>
      <c r="E79" s="1408">
        <f t="shared" si="15"/>
        <v>0</v>
      </c>
      <c r="F79" s="1408">
        <f t="shared" si="15"/>
        <v>0</v>
      </c>
      <c r="G79" s="1408">
        <f t="shared" si="15"/>
        <v>0</v>
      </c>
      <c r="H79" s="1396"/>
      <c r="I79" s="1413"/>
      <c r="J79" s="1414"/>
      <c r="K79" s="1414"/>
    </row>
    <row r="80" spans="2:11">
      <c r="B80" s="1400"/>
      <c r="C80" s="1401"/>
      <c r="D80" s="1402"/>
      <c r="E80" s="1403"/>
      <c r="F80" s="1403"/>
      <c r="G80" s="1403"/>
      <c r="H80" s="1396"/>
      <c r="I80" s="1404"/>
      <c r="J80" s="1404"/>
      <c r="K80" s="1404"/>
    </row>
    <row r="81" spans="2:11">
      <c r="B81" s="1410" t="s">
        <v>1588</v>
      </c>
      <c r="C81" s="1411" t="s">
        <v>894</v>
      </c>
      <c r="D81" s="1407" t="s">
        <v>22</v>
      </c>
      <c r="E81" s="1408">
        <f>SUMIF($AS$9:$AW$9,E$9,$AS81:$AW81)</f>
        <v>0</v>
      </c>
      <c r="F81" s="1408">
        <f>SUMIF($AS$9:$AW$9,F$9,$AS81:$AW81)</f>
        <v>0</v>
      </c>
      <c r="G81" s="1408">
        <f>SUMIF($AS$9:$AW$9,G$9,$AS81:$AW81)</f>
        <v>0</v>
      </c>
      <c r="H81" s="1396"/>
      <c r="I81" s="1408" t="e">
        <f>J81+K81</f>
        <v>#VALUE!</v>
      </c>
      <c r="J81" s="1409" t="e">
        <f>SUMIF([10]Р!$AO$93:$AO$344,[10]Р!$AO$92,[10]Р!J$93:J$344)</f>
        <v>#VALUE!</v>
      </c>
      <c r="K81" s="1409" t="e">
        <f>SUMIF([10]Р!$AO$93:$AO$344,[10]Р!$AO$92,[10]Р!K$93:K$344)</f>
        <v>#VALUE!</v>
      </c>
    </row>
    <row r="82" spans="2:11">
      <c r="B82" s="1400"/>
      <c r="C82" s="1401"/>
      <c r="D82" s="1402"/>
      <c r="E82" s="1403"/>
      <c r="F82" s="1403"/>
      <c r="G82" s="1403"/>
      <c r="H82" s="1396"/>
      <c r="I82" s="1404"/>
      <c r="J82" s="1404"/>
      <c r="K82" s="1404"/>
    </row>
    <row r="83" spans="2:11">
      <c r="B83" s="1410" t="s">
        <v>1589</v>
      </c>
      <c r="C83" s="1412" t="s">
        <v>1590</v>
      </c>
      <c r="D83" s="1407" t="s">
        <v>22</v>
      </c>
      <c r="E83" s="1408">
        <f>SUMIF($AS$9:$AW$9,E$9,$AS83:$AW83)</f>
        <v>0</v>
      </c>
      <c r="F83" s="1408">
        <f>SUMIF($AS$9:$AW$9,F$9,$AS83:$AW83)</f>
        <v>0</v>
      </c>
      <c r="G83" s="1408">
        <f>SUMIF($AS$9:$AW$9,G$9,$AS83:$AW83)</f>
        <v>0</v>
      </c>
      <c r="H83" s="1396"/>
      <c r="I83" s="1413"/>
      <c r="J83" s="1414"/>
      <c r="K83" s="1414"/>
    </row>
    <row r="84" spans="2:11">
      <c r="B84" s="1415" t="str">
        <f>B83 &amp; ".P"</f>
        <v>AGRP.P</v>
      </c>
      <c r="C84" s="1416" t="s">
        <v>28</v>
      </c>
      <c r="D84" s="1407" t="s">
        <v>29</v>
      </c>
      <c r="E84" s="1408">
        <f>IF(E85=0,0,E83*1000/E85)</f>
        <v>0</v>
      </c>
      <c r="F84" s="1408">
        <f>IF(F85=0,0,F83*1000/F85)</f>
        <v>0</v>
      </c>
      <c r="G84" s="1408">
        <f>IF(G85=0,0,G83*1000/G85)</f>
        <v>0</v>
      </c>
      <c r="H84" s="1396"/>
      <c r="I84" s="1413"/>
      <c r="J84" s="1414"/>
      <c r="K84" s="1414"/>
    </row>
    <row r="85" spans="2:11">
      <c r="B85" s="1415" t="str">
        <f>B83 &amp; ".V"</f>
        <v>AGRP.V</v>
      </c>
      <c r="C85" s="1416" t="s">
        <v>603</v>
      </c>
      <c r="D85" s="1407" t="s">
        <v>31</v>
      </c>
      <c r="E85" s="1408">
        <f t="shared" ref="E85:G86" si="16">SUMIF($AS$9:$AW$9,E$9,$AS85:$AW85)</f>
        <v>0</v>
      </c>
      <c r="F85" s="1408">
        <f t="shared" si="16"/>
        <v>0</v>
      </c>
      <c r="G85" s="1408">
        <f t="shared" si="16"/>
        <v>0</v>
      </c>
      <c r="H85" s="1396"/>
      <c r="I85" s="1414"/>
      <c r="J85" s="1414"/>
      <c r="K85" s="1414"/>
    </row>
    <row r="86" spans="2:11">
      <c r="B86" s="1410" t="s">
        <v>1591</v>
      </c>
      <c r="C86" s="1412" t="s">
        <v>1592</v>
      </c>
      <c r="D86" s="1407" t="s">
        <v>22</v>
      </c>
      <c r="E86" s="1408">
        <f t="shared" si="16"/>
        <v>0</v>
      </c>
      <c r="F86" s="1408">
        <f t="shared" si="16"/>
        <v>0</v>
      </c>
      <c r="G86" s="1408">
        <f t="shared" si="16"/>
        <v>0</v>
      </c>
      <c r="H86" s="1396"/>
      <c r="I86" s="1413"/>
      <c r="J86" s="1414"/>
      <c r="K86" s="1414"/>
    </row>
    <row r="87" spans="2:11">
      <c r="B87" s="1415" t="str">
        <f>B86 &amp; ".P"</f>
        <v>AGRE.P</v>
      </c>
      <c r="C87" s="1416" t="s">
        <v>28</v>
      </c>
      <c r="D87" s="1407" t="s">
        <v>29</v>
      </c>
      <c r="E87" s="1408">
        <f>IF(E88=0,0,E86*1000/E88)</f>
        <v>0</v>
      </c>
      <c r="F87" s="1408">
        <f>IF(F88=0,0,F86*1000/F88)</f>
        <v>0</v>
      </c>
      <c r="G87" s="1408">
        <f>IF(G88=0,0,G86*1000/G88)</f>
        <v>0</v>
      </c>
      <c r="H87" s="1396"/>
      <c r="I87" s="1413"/>
      <c r="J87" s="1414"/>
      <c r="K87" s="1414"/>
    </row>
    <row r="88" spans="2:11">
      <c r="B88" s="1415" t="str">
        <f>B86 &amp; ".V"</f>
        <v>AGRE.V</v>
      </c>
      <c r="C88" s="1416" t="s">
        <v>603</v>
      </c>
      <c r="D88" s="1407" t="s">
        <v>31</v>
      </c>
      <c r="E88" s="1408">
        <f t="shared" ref="E88:G89" si="17">SUMIF($AS$9:$AW$9,E$9,$AS88:$AW88)</f>
        <v>0</v>
      </c>
      <c r="F88" s="1408">
        <f t="shared" si="17"/>
        <v>0</v>
      </c>
      <c r="G88" s="1408">
        <f t="shared" si="17"/>
        <v>0</v>
      </c>
      <c r="H88" s="1396"/>
      <c r="I88" s="1414"/>
      <c r="J88" s="1414"/>
      <c r="K88" s="1414"/>
    </row>
    <row r="89" spans="2:11">
      <c r="B89" s="1410" t="s">
        <v>1593</v>
      </c>
      <c r="C89" s="1412" t="s">
        <v>1594</v>
      </c>
      <c r="D89" s="1407" t="s">
        <v>22</v>
      </c>
      <c r="E89" s="1408">
        <f t="shared" si="17"/>
        <v>0</v>
      </c>
      <c r="F89" s="1408">
        <f t="shared" si="17"/>
        <v>0</v>
      </c>
      <c r="G89" s="1408">
        <f t="shared" si="17"/>
        <v>0</v>
      </c>
      <c r="H89" s="1396"/>
      <c r="I89" s="1413"/>
      <c r="J89" s="1414"/>
      <c r="K89" s="1414"/>
    </row>
    <row r="90" spans="2:11">
      <c r="B90" s="1415" t="str">
        <f>B89 &amp; ".P"</f>
        <v>ALOX.P</v>
      </c>
      <c r="C90" s="1416" t="s">
        <v>28</v>
      </c>
      <c r="D90" s="1407" t="s">
        <v>29</v>
      </c>
      <c r="E90" s="1408">
        <f>IF(E91=0,0,E89*1000/E91)</f>
        <v>0</v>
      </c>
      <c r="F90" s="1408">
        <f>IF(F91=0,0,F89*1000/F91)</f>
        <v>0</v>
      </c>
      <c r="G90" s="1408">
        <f>IF(G91=0,0,G89*1000/G91)</f>
        <v>0</v>
      </c>
      <c r="H90" s="1396"/>
      <c r="I90" s="1413"/>
      <c r="J90" s="1414"/>
      <c r="K90" s="1414"/>
    </row>
    <row r="91" spans="2:11">
      <c r="B91" s="1415" t="str">
        <f>B89 &amp; ".V"</f>
        <v>ALOX.V</v>
      </c>
      <c r="C91" s="1416" t="s">
        <v>603</v>
      </c>
      <c r="D91" s="1407" t="s">
        <v>31</v>
      </c>
      <c r="E91" s="1408">
        <f t="shared" ref="E91:G92" si="18">SUMIF($AS$9:$AW$9,E$9,$AS91:$AW91)</f>
        <v>0</v>
      </c>
      <c r="F91" s="1408">
        <f t="shared" si="18"/>
        <v>0</v>
      </c>
      <c r="G91" s="1408">
        <f t="shared" si="18"/>
        <v>0</v>
      </c>
      <c r="H91" s="1396"/>
      <c r="I91" s="1414"/>
      <c r="J91" s="1414"/>
      <c r="K91" s="1414"/>
    </row>
    <row r="92" spans="2:11">
      <c r="B92" s="1410" t="s">
        <v>1595</v>
      </c>
      <c r="C92" s="1412" t="s">
        <v>1596</v>
      </c>
      <c r="D92" s="1407" t="s">
        <v>22</v>
      </c>
      <c r="E92" s="1408">
        <f t="shared" si="18"/>
        <v>0</v>
      </c>
      <c r="F92" s="1408">
        <f t="shared" si="18"/>
        <v>0</v>
      </c>
      <c r="G92" s="1408">
        <f t="shared" si="18"/>
        <v>0</v>
      </c>
      <c r="H92" s="1396"/>
      <c r="I92" s="1413"/>
      <c r="J92" s="1414"/>
      <c r="K92" s="1414"/>
    </row>
    <row r="93" spans="2:11">
      <c r="B93" s="1415" t="str">
        <f>B92 &amp; ".P"</f>
        <v>ALS.P</v>
      </c>
      <c r="C93" s="1416" t="s">
        <v>28</v>
      </c>
      <c r="D93" s="1407" t="s">
        <v>29</v>
      </c>
      <c r="E93" s="1408">
        <f>IF(E94=0,0,E92*1000/E94)</f>
        <v>0</v>
      </c>
      <c r="F93" s="1408">
        <f>IF(F94=0,0,F92*1000/F94)</f>
        <v>0</v>
      </c>
      <c r="G93" s="1408">
        <f>IF(G94=0,0,G92*1000/G94)</f>
        <v>0</v>
      </c>
      <c r="H93" s="1396"/>
      <c r="I93" s="1413"/>
      <c r="J93" s="1414"/>
      <c r="K93" s="1414"/>
    </row>
    <row r="94" spans="2:11">
      <c r="B94" s="1415" t="str">
        <f>B92 &amp; ".V"</f>
        <v>ALS.V</v>
      </c>
      <c r="C94" s="1416" t="s">
        <v>603</v>
      </c>
      <c r="D94" s="1407" t="s">
        <v>31</v>
      </c>
      <c r="E94" s="1408">
        <f t="shared" ref="E94:G95" si="19">SUMIF($AS$9:$AW$9,E$9,$AS94:$AW94)</f>
        <v>0</v>
      </c>
      <c r="F94" s="1408">
        <f t="shared" si="19"/>
        <v>0</v>
      </c>
      <c r="G94" s="1408">
        <f t="shared" si="19"/>
        <v>0</v>
      </c>
      <c r="H94" s="1396"/>
      <c r="I94" s="1414"/>
      <c r="J94" s="1414"/>
      <c r="K94" s="1414"/>
    </row>
    <row r="95" spans="2:11">
      <c r="B95" s="1410" t="s">
        <v>1597</v>
      </c>
      <c r="C95" s="1412" t="s">
        <v>1598</v>
      </c>
      <c r="D95" s="1407" t="s">
        <v>22</v>
      </c>
      <c r="E95" s="1408">
        <f t="shared" si="19"/>
        <v>0</v>
      </c>
      <c r="F95" s="1408">
        <f t="shared" si="19"/>
        <v>0</v>
      </c>
      <c r="G95" s="1408">
        <f t="shared" si="19"/>
        <v>0</v>
      </c>
      <c r="H95" s="1396"/>
      <c r="I95" s="1413"/>
      <c r="J95" s="1414"/>
      <c r="K95" s="1414"/>
    </row>
    <row r="96" spans="2:11">
      <c r="B96" s="1415" t="str">
        <f>B95 &amp; ".P"</f>
        <v>AM.P</v>
      </c>
      <c r="C96" s="1416" t="s">
        <v>28</v>
      </c>
      <c r="D96" s="1407" t="s">
        <v>29</v>
      </c>
      <c r="E96" s="1408">
        <f>IF(E97=0,0,E95*1000/E97)</f>
        <v>0</v>
      </c>
      <c r="F96" s="1408">
        <f>IF(F97=0,0,F95*1000/F97)</f>
        <v>0</v>
      </c>
      <c r="G96" s="1408">
        <f>IF(G97=0,0,G95*1000/G97)</f>
        <v>0</v>
      </c>
      <c r="H96" s="1396"/>
      <c r="I96" s="1413"/>
      <c r="J96" s="1414"/>
      <c r="K96" s="1414"/>
    </row>
    <row r="97" spans="2:11">
      <c r="B97" s="1415" t="str">
        <f>B95 &amp; ".V"</f>
        <v>AM.V</v>
      </c>
      <c r="C97" s="1416" t="s">
        <v>603</v>
      </c>
      <c r="D97" s="1407" t="s">
        <v>31</v>
      </c>
      <c r="E97" s="1408">
        <f t="shared" ref="E97:G98" si="20">SUMIF($AS$9:$AW$9,E$9,$AS97:$AW97)</f>
        <v>0</v>
      </c>
      <c r="F97" s="1408">
        <f t="shared" si="20"/>
        <v>0</v>
      </c>
      <c r="G97" s="1408">
        <f t="shared" si="20"/>
        <v>0</v>
      </c>
      <c r="H97" s="1396"/>
      <c r="I97" s="1414"/>
      <c r="J97" s="1414"/>
      <c r="K97" s="1414"/>
    </row>
    <row r="98" spans="2:11">
      <c r="B98" s="1410" t="s">
        <v>1599</v>
      </c>
      <c r="C98" s="1412" t="s">
        <v>1600</v>
      </c>
      <c r="D98" s="1407" t="s">
        <v>22</v>
      </c>
      <c r="E98" s="1408">
        <f t="shared" si="20"/>
        <v>0</v>
      </c>
      <c r="F98" s="1408">
        <f t="shared" si="20"/>
        <v>0</v>
      </c>
      <c r="G98" s="1408">
        <f t="shared" si="20"/>
        <v>0</v>
      </c>
      <c r="H98" s="1396"/>
      <c r="I98" s="1413"/>
      <c r="J98" s="1414"/>
      <c r="K98" s="1414"/>
    </row>
    <row r="99" spans="2:11">
      <c r="B99" s="1415" t="str">
        <f>B98 &amp; ".P"</f>
        <v>AMW.P</v>
      </c>
      <c r="C99" s="1416" t="s">
        <v>28</v>
      </c>
      <c r="D99" s="1407" t="s">
        <v>29</v>
      </c>
      <c r="E99" s="1408">
        <f>IF(E100=0,0,E98*1000/E100)</f>
        <v>0</v>
      </c>
      <c r="F99" s="1408">
        <f>IF(F100=0,0,F98*1000/F100)</f>
        <v>0</v>
      </c>
      <c r="G99" s="1408">
        <f>IF(G100=0,0,G98*1000/G100)</f>
        <v>0</v>
      </c>
      <c r="H99" s="1396"/>
      <c r="I99" s="1413"/>
      <c r="J99" s="1414"/>
      <c r="K99" s="1414"/>
    </row>
    <row r="100" spans="2:11">
      <c r="B100" s="1415" t="str">
        <f>B98 &amp; ".V"</f>
        <v>AMW.V</v>
      </c>
      <c r="C100" s="1416" t="s">
        <v>603</v>
      </c>
      <c r="D100" s="1407" t="s">
        <v>31</v>
      </c>
      <c r="E100" s="1408">
        <f t="shared" ref="E100:G101" si="21">SUMIF($AS$9:$AW$9,E$9,$AS100:$AW100)</f>
        <v>0</v>
      </c>
      <c r="F100" s="1408">
        <f t="shared" si="21"/>
        <v>0</v>
      </c>
      <c r="G100" s="1408">
        <f t="shared" si="21"/>
        <v>0</v>
      </c>
      <c r="H100" s="1396"/>
      <c r="I100" s="1414"/>
      <c r="J100" s="1414"/>
      <c r="K100" s="1414"/>
    </row>
    <row r="101" spans="2:11">
      <c r="B101" s="1410" t="s">
        <v>1601</v>
      </c>
      <c r="C101" s="1412" t="s">
        <v>1602</v>
      </c>
      <c r="D101" s="1407" t="s">
        <v>22</v>
      </c>
      <c r="E101" s="1408">
        <f t="shared" si="21"/>
        <v>0</v>
      </c>
      <c r="F101" s="1408">
        <f t="shared" si="21"/>
        <v>0</v>
      </c>
      <c r="G101" s="1408">
        <f t="shared" si="21"/>
        <v>0</v>
      </c>
      <c r="H101" s="1396"/>
      <c r="I101" s="1413"/>
      <c r="J101" s="1414"/>
      <c r="K101" s="1414"/>
    </row>
    <row r="102" spans="2:11">
      <c r="B102" s="1415" t="str">
        <f>B101 &amp; ".P"</f>
        <v>AMN.P</v>
      </c>
      <c r="C102" s="1416" t="s">
        <v>28</v>
      </c>
      <c r="D102" s="1407" t="s">
        <v>29</v>
      </c>
      <c r="E102" s="1408">
        <f>IF(E103=0,0,E101*1000/E103)</f>
        <v>0</v>
      </c>
      <c r="F102" s="1408">
        <f>IF(F103=0,0,F101*1000/F103)</f>
        <v>0</v>
      </c>
      <c r="G102" s="1408">
        <f>IF(G103=0,0,G101*1000/G103)</f>
        <v>0</v>
      </c>
      <c r="H102" s="1396"/>
      <c r="I102" s="1413"/>
      <c r="J102" s="1414"/>
      <c r="K102" s="1414"/>
    </row>
    <row r="103" spans="2:11">
      <c r="B103" s="1415" t="str">
        <f>B101 &amp; ".V"</f>
        <v>AMN.V</v>
      </c>
      <c r="C103" s="1416" t="s">
        <v>603</v>
      </c>
      <c r="D103" s="1407" t="s">
        <v>31</v>
      </c>
      <c r="E103" s="1408">
        <f t="shared" ref="E103:G104" si="22">SUMIF($AS$9:$AW$9,E$9,$AS103:$AW103)</f>
        <v>0</v>
      </c>
      <c r="F103" s="1408">
        <f t="shared" si="22"/>
        <v>0</v>
      </c>
      <c r="G103" s="1408">
        <f t="shared" si="22"/>
        <v>0</v>
      </c>
      <c r="H103" s="1396"/>
      <c r="I103" s="1414"/>
      <c r="J103" s="1414"/>
      <c r="K103" s="1414"/>
    </row>
    <row r="104" spans="2:11">
      <c r="B104" s="1410" t="s">
        <v>1603</v>
      </c>
      <c r="C104" s="1412" t="s">
        <v>1604</v>
      </c>
      <c r="D104" s="1407" t="s">
        <v>22</v>
      </c>
      <c r="E104" s="1408">
        <f t="shared" si="22"/>
        <v>0</v>
      </c>
      <c r="F104" s="1408">
        <f t="shared" si="22"/>
        <v>0</v>
      </c>
      <c r="G104" s="1408">
        <f t="shared" si="22"/>
        <v>0</v>
      </c>
      <c r="H104" s="1396"/>
      <c r="I104" s="1413"/>
      <c r="J104" s="1414"/>
      <c r="K104" s="1414"/>
    </row>
    <row r="105" spans="2:11">
      <c r="B105" s="1415" t="str">
        <f>B104 &amp; ".P"</f>
        <v>AMNCL.P</v>
      </c>
      <c r="C105" s="1416" t="s">
        <v>28</v>
      </c>
      <c r="D105" s="1407" t="s">
        <v>29</v>
      </c>
      <c r="E105" s="1408">
        <f>IF(E106=0,0,E104*1000/E106)</f>
        <v>0</v>
      </c>
      <c r="F105" s="1408">
        <f>IF(F106=0,0,F104*1000/F106)</f>
        <v>0</v>
      </c>
      <c r="G105" s="1408">
        <f>IF(G106=0,0,G104*1000/G106)</f>
        <v>0</v>
      </c>
      <c r="H105" s="1396"/>
      <c r="I105" s="1413"/>
      <c r="J105" s="1414"/>
      <c r="K105" s="1414"/>
    </row>
    <row r="106" spans="2:11">
      <c r="B106" s="1415" t="str">
        <f>B104 &amp; ".V"</f>
        <v>AMNCL.V</v>
      </c>
      <c r="C106" s="1416" t="s">
        <v>603</v>
      </c>
      <c r="D106" s="1407" t="s">
        <v>31</v>
      </c>
      <c r="E106" s="1408">
        <f t="shared" ref="E106:G107" si="23">SUMIF($AS$9:$AW$9,E$9,$AS106:$AW106)</f>
        <v>0</v>
      </c>
      <c r="F106" s="1408">
        <f t="shared" si="23"/>
        <v>0</v>
      </c>
      <c r="G106" s="1408">
        <f t="shared" si="23"/>
        <v>0</v>
      </c>
      <c r="H106" s="1396"/>
      <c r="I106" s="1414"/>
      <c r="J106" s="1414"/>
      <c r="K106" s="1414"/>
    </row>
    <row r="107" spans="2:11">
      <c r="B107" s="1410" t="s">
        <v>1605</v>
      </c>
      <c r="C107" s="1412" t="s">
        <v>1606</v>
      </c>
      <c r="D107" s="1407" t="s">
        <v>22</v>
      </c>
      <c r="E107" s="1408">
        <f t="shared" si="23"/>
        <v>0</v>
      </c>
      <c r="F107" s="1408">
        <f t="shared" si="23"/>
        <v>0</v>
      </c>
      <c r="G107" s="1408">
        <f t="shared" si="23"/>
        <v>0</v>
      </c>
      <c r="H107" s="1396"/>
      <c r="I107" s="1413"/>
      <c r="J107" s="1414"/>
      <c r="K107" s="1414"/>
    </row>
    <row r="108" spans="2:11">
      <c r="B108" s="1415" t="str">
        <f>B107 &amp; ".P"</f>
        <v>BACL.P</v>
      </c>
      <c r="C108" s="1416" t="s">
        <v>28</v>
      </c>
      <c r="D108" s="1407" t="s">
        <v>29</v>
      </c>
      <c r="E108" s="1408">
        <f>IF(E109=0,0,E107*1000/E109)</f>
        <v>0</v>
      </c>
      <c r="F108" s="1408">
        <f>IF(F109=0,0,F107*1000/F109)</f>
        <v>0</v>
      </c>
      <c r="G108" s="1408">
        <f>IF(G109=0,0,G107*1000/G109)</f>
        <v>0</v>
      </c>
      <c r="H108" s="1396"/>
      <c r="I108" s="1413"/>
      <c r="J108" s="1414"/>
      <c r="K108" s="1414"/>
    </row>
    <row r="109" spans="2:11">
      <c r="B109" s="1415" t="str">
        <f>B107 &amp; ".V"</f>
        <v>BACL.V</v>
      </c>
      <c r="C109" s="1416" t="s">
        <v>603</v>
      </c>
      <c r="D109" s="1407" t="s">
        <v>31</v>
      </c>
      <c r="E109" s="1408">
        <f t="shared" ref="E109:G110" si="24">SUMIF($AS$9:$AW$9,E$9,$AS109:$AW109)</f>
        <v>0</v>
      </c>
      <c r="F109" s="1408">
        <f t="shared" si="24"/>
        <v>0</v>
      </c>
      <c r="G109" s="1408">
        <f t="shared" si="24"/>
        <v>0</v>
      </c>
      <c r="H109" s="1396"/>
      <c r="I109" s="1414"/>
      <c r="J109" s="1414"/>
      <c r="K109" s="1414"/>
    </row>
    <row r="110" spans="2:11">
      <c r="B110" s="1410" t="s">
        <v>1607</v>
      </c>
      <c r="C110" s="1412" t="s">
        <v>1608</v>
      </c>
      <c r="D110" s="1407" t="s">
        <v>22</v>
      </c>
      <c r="E110" s="1408">
        <f t="shared" si="24"/>
        <v>0</v>
      </c>
      <c r="F110" s="1408">
        <f t="shared" si="24"/>
        <v>0</v>
      </c>
      <c r="G110" s="1408">
        <f t="shared" si="24"/>
        <v>0</v>
      </c>
      <c r="H110" s="1396"/>
      <c r="I110" s="1413"/>
      <c r="J110" s="1414"/>
      <c r="K110" s="1414"/>
    </row>
    <row r="111" spans="2:11">
      <c r="B111" s="1415" t="str">
        <f>B110 &amp; ".P"</f>
        <v>BIOX.P</v>
      </c>
      <c r="C111" s="1416" t="s">
        <v>28</v>
      </c>
      <c r="D111" s="1407" t="s">
        <v>29</v>
      </c>
      <c r="E111" s="1408">
        <f>IF(E112=0,0,E110*1000/E112)</f>
        <v>0</v>
      </c>
      <c r="F111" s="1408">
        <f>IF(F112=0,0,F110*1000/F112)</f>
        <v>0</v>
      </c>
      <c r="G111" s="1408">
        <f>IF(G112=0,0,G110*1000/G112)</f>
        <v>0</v>
      </c>
      <c r="H111" s="1396"/>
      <c r="I111" s="1413"/>
      <c r="J111" s="1414"/>
      <c r="K111" s="1414"/>
    </row>
    <row r="112" spans="2:11">
      <c r="B112" s="1415" t="str">
        <f>B110 &amp; ".V"</f>
        <v>BIOX.V</v>
      </c>
      <c r="C112" s="1416" t="s">
        <v>603</v>
      </c>
      <c r="D112" s="1407" t="s">
        <v>31</v>
      </c>
      <c r="E112" s="1408">
        <f t="shared" ref="E112:G113" si="25">SUMIF($AS$9:$AW$9,E$9,$AS112:$AW112)</f>
        <v>0</v>
      </c>
      <c r="F112" s="1408">
        <f t="shared" si="25"/>
        <v>0</v>
      </c>
      <c r="G112" s="1408">
        <f t="shared" si="25"/>
        <v>0</v>
      </c>
      <c r="H112" s="1396"/>
      <c r="I112" s="1414"/>
      <c r="J112" s="1414"/>
      <c r="K112" s="1414"/>
    </row>
    <row r="113" spans="2:11">
      <c r="B113" s="1410" t="s">
        <v>1609</v>
      </c>
      <c r="C113" s="1412" t="s">
        <v>1610</v>
      </c>
      <c r="D113" s="1407" t="s">
        <v>22</v>
      </c>
      <c r="E113" s="1408">
        <f t="shared" si="25"/>
        <v>0</v>
      </c>
      <c r="F113" s="1408">
        <f t="shared" si="25"/>
        <v>0</v>
      </c>
      <c r="G113" s="1408">
        <f t="shared" si="25"/>
        <v>0</v>
      </c>
      <c r="H113" s="1396"/>
      <c r="I113" s="1413"/>
      <c r="J113" s="1414"/>
      <c r="K113" s="1414"/>
    </row>
    <row r="114" spans="2:11">
      <c r="B114" s="1415" t="str">
        <f>B113 &amp; ".P"</f>
        <v>BRFNL.P</v>
      </c>
      <c r="C114" s="1416" t="s">
        <v>28</v>
      </c>
      <c r="D114" s="1407" t="s">
        <v>29</v>
      </c>
      <c r="E114" s="1408">
        <f>IF(E115=0,0,E113*1000/E115)</f>
        <v>0</v>
      </c>
      <c r="F114" s="1408">
        <f>IF(F115=0,0,F113*1000/F115)</f>
        <v>0</v>
      </c>
      <c r="G114" s="1408">
        <f>IF(G115=0,0,G113*1000/G115)</f>
        <v>0</v>
      </c>
      <c r="H114" s="1396"/>
      <c r="I114" s="1413"/>
      <c r="J114" s="1414"/>
      <c r="K114" s="1414"/>
    </row>
    <row r="115" spans="2:11">
      <c r="B115" s="1415" t="str">
        <f>B113 &amp; ".V"</f>
        <v>BRFNL.V</v>
      </c>
      <c r="C115" s="1416" t="s">
        <v>603</v>
      </c>
      <c r="D115" s="1407" t="s">
        <v>31</v>
      </c>
      <c r="E115" s="1408">
        <f t="shared" ref="E115:G116" si="26">SUMIF($AS$9:$AW$9,E$9,$AS115:$AW115)</f>
        <v>0</v>
      </c>
      <c r="F115" s="1408">
        <f t="shared" si="26"/>
        <v>0</v>
      </c>
      <c r="G115" s="1408">
        <f t="shared" si="26"/>
        <v>0</v>
      </c>
      <c r="H115" s="1396"/>
      <c r="I115" s="1414"/>
      <c r="J115" s="1414"/>
      <c r="K115" s="1414"/>
    </row>
    <row r="116" spans="2:11">
      <c r="B116" s="1410" t="s">
        <v>1611</v>
      </c>
      <c r="C116" s="1412" t="s">
        <v>1612</v>
      </c>
      <c r="D116" s="1407" t="s">
        <v>22</v>
      </c>
      <c r="E116" s="1408">
        <f t="shared" si="26"/>
        <v>0</v>
      </c>
      <c r="F116" s="1408">
        <f t="shared" si="26"/>
        <v>0</v>
      </c>
      <c r="G116" s="1408">
        <f t="shared" si="26"/>
        <v>0</v>
      </c>
      <c r="H116" s="1396"/>
      <c r="I116" s="1413"/>
      <c r="J116" s="1414"/>
      <c r="K116" s="1414"/>
    </row>
    <row r="117" spans="2:11">
      <c r="B117" s="1415" t="str">
        <f>B116 &amp; ".P"</f>
        <v>HDOX.P</v>
      </c>
      <c r="C117" s="1416" t="s">
        <v>28</v>
      </c>
      <c r="D117" s="1407" t="s">
        <v>29</v>
      </c>
      <c r="E117" s="1408">
        <f>IF(E118=0,0,E116*1000/E118)</f>
        <v>0</v>
      </c>
      <c r="F117" s="1408">
        <f>IF(F118=0,0,F116*1000/F118)</f>
        <v>0</v>
      </c>
      <c r="G117" s="1408">
        <f>IF(G118=0,0,G116*1000/G118)</f>
        <v>0</v>
      </c>
      <c r="H117" s="1396"/>
      <c r="I117" s="1413"/>
      <c r="J117" s="1414"/>
      <c r="K117" s="1414"/>
    </row>
    <row r="118" spans="2:11">
      <c r="B118" s="1415" t="str">
        <f>B116 &amp; ".V"</f>
        <v>HDOX.V</v>
      </c>
      <c r="C118" s="1416" t="s">
        <v>603</v>
      </c>
      <c r="D118" s="1407" t="s">
        <v>31</v>
      </c>
      <c r="E118" s="1408">
        <f t="shared" ref="E118:G119" si="27">SUMIF($AS$9:$AW$9,E$9,$AS118:$AW118)</f>
        <v>0</v>
      </c>
      <c r="F118" s="1408">
        <f t="shared" si="27"/>
        <v>0</v>
      </c>
      <c r="G118" s="1408">
        <f t="shared" si="27"/>
        <v>0</v>
      </c>
      <c r="H118" s="1396"/>
      <c r="I118" s="1414"/>
      <c r="J118" s="1414"/>
      <c r="K118" s="1414"/>
    </row>
    <row r="119" spans="2:11">
      <c r="B119" s="1410" t="s">
        <v>1613</v>
      </c>
      <c r="C119" s="1412" t="s">
        <v>1614</v>
      </c>
      <c r="D119" s="1407" t="s">
        <v>22</v>
      </c>
      <c r="E119" s="1408">
        <f t="shared" si="27"/>
        <v>0</v>
      </c>
      <c r="F119" s="1408">
        <f t="shared" si="27"/>
        <v>0</v>
      </c>
      <c r="G119" s="1408">
        <f t="shared" si="27"/>
        <v>0</v>
      </c>
      <c r="H119" s="1396"/>
      <c r="I119" s="1413"/>
      <c r="J119" s="1414"/>
      <c r="K119" s="1414"/>
    </row>
    <row r="120" spans="2:11">
      <c r="B120" s="1415" t="str">
        <f>B119 &amp; ".P"</f>
        <v>GEXN.P</v>
      </c>
      <c r="C120" s="1416" t="s">
        <v>28</v>
      </c>
      <c r="D120" s="1407" t="s">
        <v>29</v>
      </c>
      <c r="E120" s="1408">
        <f>IF(E121=0,0,E119*1000/E121)</f>
        <v>0</v>
      </c>
      <c r="F120" s="1408">
        <f>IF(F121=0,0,F119*1000/F121)</f>
        <v>0</v>
      </c>
      <c r="G120" s="1408">
        <f>IF(G121=0,0,G119*1000/G121)</f>
        <v>0</v>
      </c>
      <c r="H120" s="1396"/>
      <c r="I120" s="1413"/>
      <c r="J120" s="1414"/>
      <c r="K120" s="1414"/>
    </row>
    <row r="121" spans="2:11">
      <c r="B121" s="1415" t="str">
        <f>B119 &amp; ".V"</f>
        <v>GEXN.V</v>
      </c>
      <c r="C121" s="1416" t="s">
        <v>603</v>
      </c>
      <c r="D121" s="1407" t="s">
        <v>31</v>
      </c>
      <c r="E121" s="1408">
        <f t="shared" ref="E121:G122" si="28">SUMIF($AS$9:$AW$9,E$9,$AS121:$AW121)</f>
        <v>0</v>
      </c>
      <c r="F121" s="1408">
        <f t="shared" si="28"/>
        <v>0</v>
      </c>
      <c r="G121" s="1408">
        <f t="shared" si="28"/>
        <v>0</v>
      </c>
      <c r="H121" s="1396"/>
      <c r="I121" s="1414"/>
      <c r="J121" s="1414"/>
      <c r="K121" s="1414"/>
    </row>
    <row r="122" spans="2:11">
      <c r="B122" s="1410" t="s">
        <v>1615</v>
      </c>
      <c r="C122" s="1412" t="s">
        <v>1616</v>
      </c>
      <c r="D122" s="1407" t="s">
        <v>22</v>
      </c>
      <c r="E122" s="1408">
        <f t="shared" si="28"/>
        <v>0</v>
      </c>
      <c r="F122" s="1408">
        <f t="shared" si="28"/>
        <v>0</v>
      </c>
      <c r="G122" s="1408">
        <f t="shared" si="28"/>
        <v>0</v>
      </c>
      <c r="H122" s="1396"/>
      <c r="I122" s="1413"/>
      <c r="J122" s="1414"/>
      <c r="K122" s="1414"/>
    </row>
    <row r="123" spans="2:11">
      <c r="B123" s="1415" t="str">
        <f>B122 &amp; ".P"</f>
        <v>HDOXCL.P</v>
      </c>
      <c r="C123" s="1416" t="s">
        <v>28</v>
      </c>
      <c r="D123" s="1407" t="s">
        <v>29</v>
      </c>
      <c r="E123" s="1408">
        <f>IF(E124=0,0,E122*1000/E124)</f>
        <v>0</v>
      </c>
      <c r="F123" s="1408">
        <f>IF(F124=0,0,F122*1000/F124)</f>
        <v>0</v>
      </c>
      <c r="G123" s="1408">
        <f>IF(G124=0,0,G122*1000/G124)</f>
        <v>0</v>
      </c>
      <c r="H123" s="1396"/>
      <c r="I123" s="1413"/>
      <c r="J123" s="1414"/>
      <c r="K123" s="1414"/>
    </row>
    <row r="124" spans="2:11">
      <c r="B124" s="1415" t="str">
        <f>B122 &amp; ".V"</f>
        <v>HDOXCL.V</v>
      </c>
      <c r="C124" s="1416" t="s">
        <v>603</v>
      </c>
      <c r="D124" s="1407" t="s">
        <v>31</v>
      </c>
      <c r="E124" s="1408">
        <f t="shared" ref="E124:G125" si="29">SUMIF($AS$9:$AW$9,E$9,$AS124:$AW124)</f>
        <v>0</v>
      </c>
      <c r="F124" s="1408">
        <f t="shared" si="29"/>
        <v>0</v>
      </c>
      <c r="G124" s="1408">
        <f t="shared" si="29"/>
        <v>0</v>
      </c>
      <c r="H124" s="1396"/>
      <c r="I124" s="1414"/>
      <c r="J124" s="1414"/>
      <c r="K124" s="1414"/>
    </row>
    <row r="125" spans="2:11">
      <c r="B125" s="1410" t="s">
        <v>1617</v>
      </c>
      <c r="C125" s="1412" t="s">
        <v>1618</v>
      </c>
      <c r="D125" s="1407" t="s">
        <v>22</v>
      </c>
      <c r="E125" s="1408">
        <f t="shared" si="29"/>
        <v>0</v>
      </c>
      <c r="F125" s="1408">
        <f t="shared" si="29"/>
        <v>0</v>
      </c>
      <c r="G125" s="1408">
        <f t="shared" si="29"/>
        <v>0</v>
      </c>
      <c r="H125" s="1396"/>
      <c r="I125" s="1413"/>
      <c r="J125" s="1414"/>
      <c r="K125" s="1414"/>
    </row>
    <row r="126" spans="2:11">
      <c r="B126" s="1415" t="str">
        <f>B125 &amp; ".P"</f>
        <v>HDCLCA.P</v>
      </c>
      <c r="C126" s="1416" t="s">
        <v>28</v>
      </c>
      <c r="D126" s="1407" t="s">
        <v>29</v>
      </c>
      <c r="E126" s="1408">
        <f>IF(E127=0,0,E125*1000/E127)</f>
        <v>0</v>
      </c>
      <c r="F126" s="1408">
        <f>IF(F127=0,0,F125*1000/F127)</f>
        <v>0</v>
      </c>
      <c r="G126" s="1408">
        <f>IF(G127=0,0,G125*1000/G127)</f>
        <v>0</v>
      </c>
      <c r="H126" s="1396"/>
      <c r="I126" s="1413"/>
      <c r="J126" s="1414"/>
      <c r="K126" s="1414"/>
    </row>
    <row r="127" spans="2:11">
      <c r="B127" s="1415" t="str">
        <f>B125 &amp; ".V"</f>
        <v>HDCLCA.V</v>
      </c>
      <c r="C127" s="1416" t="s">
        <v>603</v>
      </c>
      <c r="D127" s="1407" t="s">
        <v>31</v>
      </c>
      <c r="E127" s="1408">
        <f t="shared" ref="E127:G128" si="30">SUMIF($AS$9:$AW$9,E$9,$AS127:$AW127)</f>
        <v>0</v>
      </c>
      <c r="F127" s="1408">
        <f t="shared" si="30"/>
        <v>0</v>
      </c>
      <c r="G127" s="1408">
        <f t="shared" si="30"/>
        <v>0</v>
      </c>
      <c r="H127" s="1396"/>
      <c r="I127" s="1414"/>
      <c r="J127" s="1414"/>
      <c r="K127" s="1414"/>
    </row>
    <row r="128" spans="2:11">
      <c r="B128" s="1410" t="s">
        <v>1619</v>
      </c>
      <c r="C128" s="1412" t="s">
        <v>1620</v>
      </c>
      <c r="D128" s="1407" t="s">
        <v>22</v>
      </c>
      <c r="E128" s="1408">
        <f t="shared" si="30"/>
        <v>0</v>
      </c>
      <c r="F128" s="1408">
        <f t="shared" si="30"/>
        <v>0</v>
      </c>
      <c r="G128" s="1408">
        <f t="shared" si="30"/>
        <v>0</v>
      </c>
      <c r="H128" s="1396"/>
      <c r="I128" s="1413"/>
      <c r="J128" s="1414"/>
      <c r="K128" s="1414"/>
    </row>
    <row r="129" spans="2:11">
      <c r="B129" s="1415" t="str">
        <f>B128 &amp; ".P"</f>
        <v>HPCLCA.P</v>
      </c>
      <c r="C129" s="1416" t="s">
        <v>28</v>
      </c>
      <c r="D129" s="1407" t="s">
        <v>29</v>
      </c>
      <c r="E129" s="1408">
        <f>IF(E130=0,0,E128*1000/E130)</f>
        <v>0</v>
      </c>
      <c r="F129" s="1408">
        <f>IF(F130=0,0,F128*1000/F130)</f>
        <v>0</v>
      </c>
      <c r="G129" s="1408">
        <f>IF(G130=0,0,G128*1000/G130)</f>
        <v>0</v>
      </c>
      <c r="H129" s="1396"/>
      <c r="I129" s="1413"/>
      <c r="J129" s="1414"/>
      <c r="K129" s="1414"/>
    </row>
    <row r="130" spans="2:11">
      <c r="B130" s="1415" t="str">
        <f>B128 &amp; ".V"</f>
        <v>HPCLCA.V</v>
      </c>
      <c r="C130" s="1416" t="s">
        <v>603</v>
      </c>
      <c r="D130" s="1407" t="s">
        <v>31</v>
      </c>
      <c r="E130" s="1408">
        <f t="shared" ref="E130:G131" si="31">SUMIF($AS$9:$AW$9,E$9,$AS130:$AW130)</f>
        <v>0</v>
      </c>
      <c r="F130" s="1408">
        <f t="shared" si="31"/>
        <v>0</v>
      </c>
      <c r="G130" s="1408">
        <f t="shared" si="31"/>
        <v>0</v>
      </c>
      <c r="H130" s="1396"/>
      <c r="I130" s="1414"/>
      <c r="J130" s="1414"/>
      <c r="K130" s="1414"/>
    </row>
    <row r="131" spans="2:11">
      <c r="B131" s="1410" t="s">
        <v>1621</v>
      </c>
      <c r="C131" s="1412" t="s">
        <v>1622</v>
      </c>
      <c r="D131" s="1407" t="s">
        <v>22</v>
      </c>
      <c r="E131" s="1408">
        <f t="shared" si="31"/>
        <v>0</v>
      </c>
      <c r="F131" s="1408">
        <f t="shared" si="31"/>
        <v>0</v>
      </c>
      <c r="G131" s="1408">
        <f t="shared" si="31"/>
        <v>0</v>
      </c>
      <c r="H131" s="1396"/>
      <c r="I131" s="1408">
        <f>J131+K131</f>
        <v>285.26778000000002</v>
      </c>
      <c r="J131" s="1409">
        <f>J132*J133/1000</f>
        <v>116.92674000000001</v>
      </c>
      <c r="K131" s="1409">
        <f>K132*K133/1000</f>
        <v>168.34104000000002</v>
      </c>
    </row>
    <row r="132" spans="2:11">
      <c r="B132" s="1415" t="str">
        <f>B131 &amp; ".P"</f>
        <v>HPCLNA.P</v>
      </c>
      <c r="C132" s="1416" t="s">
        <v>28</v>
      </c>
      <c r="D132" s="1407" t="s">
        <v>29</v>
      </c>
      <c r="E132" s="1408">
        <f>IF(E133=0,0,E131*1000/E133)</f>
        <v>0</v>
      </c>
      <c r="F132" s="1408">
        <f>IF(F133=0,0,F131*1000/F133)</f>
        <v>0</v>
      </c>
      <c r="G132" s="1408">
        <f>IF(G133=0,0,G131*1000/G133)</f>
        <v>0</v>
      </c>
      <c r="H132" s="1396"/>
      <c r="I132" s="1408">
        <f>IF(I133=0,0,I131*1000/I133)</f>
        <v>32.34328571428572</v>
      </c>
      <c r="J132" s="1419">
        <v>30.933</v>
      </c>
      <c r="K132" s="1419">
        <v>33.401000000000003</v>
      </c>
    </row>
    <row r="133" spans="2:11">
      <c r="B133" s="1415" t="str">
        <f>B131 &amp; ".V"</f>
        <v>HPCLNA.V</v>
      </c>
      <c r="C133" s="1416" t="s">
        <v>603</v>
      </c>
      <c r="D133" s="1407" t="s">
        <v>31</v>
      </c>
      <c r="E133" s="1408">
        <f t="shared" ref="E133:G134" si="32">SUMIF($AS$9:$AW$9,E$9,$AS133:$AW133)</f>
        <v>0</v>
      </c>
      <c r="F133" s="1408">
        <f t="shared" si="32"/>
        <v>0</v>
      </c>
      <c r="G133" s="1408">
        <f t="shared" si="32"/>
        <v>0</v>
      </c>
      <c r="H133" s="1396"/>
      <c r="I133" s="1408">
        <f>J133+K133</f>
        <v>8820</v>
      </c>
      <c r="J133" s="1419">
        <v>3780</v>
      </c>
      <c r="K133" s="1419">
        <v>5040</v>
      </c>
    </row>
    <row r="134" spans="2:11">
      <c r="B134" s="1410" t="s">
        <v>1623</v>
      </c>
      <c r="C134" s="1412" t="s">
        <v>1624</v>
      </c>
      <c r="D134" s="1407" t="s">
        <v>22</v>
      </c>
      <c r="E134" s="1408">
        <f t="shared" si="32"/>
        <v>0</v>
      </c>
      <c r="F134" s="1408">
        <f t="shared" si="32"/>
        <v>0</v>
      </c>
      <c r="G134" s="1408">
        <f t="shared" si="32"/>
        <v>0</v>
      </c>
      <c r="H134" s="1396"/>
      <c r="I134" s="1413"/>
      <c r="J134" s="1414"/>
      <c r="K134" s="1414"/>
    </row>
    <row r="135" spans="2:11">
      <c r="B135" s="1415" t="str">
        <f>B134 &amp; ".P"</f>
        <v>GLC.P</v>
      </c>
      <c r="C135" s="1416" t="s">
        <v>28</v>
      </c>
      <c r="D135" s="1407" t="s">
        <v>29</v>
      </c>
      <c r="E135" s="1408">
        <f>IF(E136=0,0,E134*1000/E136)</f>
        <v>0</v>
      </c>
      <c r="F135" s="1408">
        <f>IF(F136=0,0,F134*1000/F136)</f>
        <v>0</v>
      </c>
      <c r="G135" s="1408">
        <f>IF(G136=0,0,G134*1000/G136)</f>
        <v>0</v>
      </c>
      <c r="H135" s="1396"/>
      <c r="I135" s="1413"/>
      <c r="J135" s="1414"/>
      <c r="K135" s="1414"/>
    </row>
    <row r="136" spans="2:11">
      <c r="B136" s="1415" t="str">
        <f>B134 &amp; ".V"</f>
        <v>GLC.V</v>
      </c>
      <c r="C136" s="1416" t="s">
        <v>603</v>
      </c>
      <c r="D136" s="1407" t="s">
        <v>31</v>
      </c>
      <c r="E136" s="1408">
        <f t="shared" ref="E136:G137" si="33">SUMIF($AS$9:$AW$9,E$9,$AS136:$AW136)</f>
        <v>0</v>
      </c>
      <c r="F136" s="1408">
        <f t="shared" si="33"/>
        <v>0</v>
      </c>
      <c r="G136" s="1408">
        <f t="shared" si="33"/>
        <v>0</v>
      </c>
      <c r="H136" s="1396"/>
      <c r="I136" s="1414"/>
      <c r="J136" s="1414"/>
      <c r="K136" s="1414"/>
    </row>
    <row r="137" spans="2:11">
      <c r="B137" s="1410" t="s">
        <v>1625</v>
      </c>
      <c r="C137" s="1412" t="s">
        <v>1626</v>
      </c>
      <c r="D137" s="1407" t="s">
        <v>22</v>
      </c>
      <c r="E137" s="1408">
        <f t="shared" si="33"/>
        <v>0</v>
      </c>
      <c r="F137" s="1408">
        <f t="shared" si="33"/>
        <v>0</v>
      </c>
      <c r="G137" s="1408">
        <f t="shared" si="33"/>
        <v>0</v>
      </c>
      <c r="H137" s="1396"/>
      <c r="I137" s="1413"/>
      <c r="J137" s="1414"/>
      <c r="K137" s="1414"/>
    </row>
    <row r="138" spans="2:11">
      <c r="B138" s="1415" t="str">
        <f>B137 &amp; ".P"</f>
        <v>DFNLCD.P</v>
      </c>
      <c r="C138" s="1416" t="s">
        <v>28</v>
      </c>
      <c r="D138" s="1407" t="s">
        <v>29</v>
      </c>
      <c r="E138" s="1408">
        <f>IF(E139=0,0,E137*1000/E139)</f>
        <v>0</v>
      </c>
      <c r="F138" s="1408">
        <f>IF(F139=0,0,F137*1000/F139)</f>
        <v>0</v>
      </c>
      <c r="G138" s="1408">
        <f>IF(G139=0,0,G137*1000/G139)</f>
        <v>0</v>
      </c>
      <c r="H138" s="1396"/>
      <c r="I138" s="1413"/>
      <c r="J138" s="1414"/>
      <c r="K138" s="1414"/>
    </row>
    <row r="139" spans="2:11">
      <c r="B139" s="1415" t="str">
        <f>B137 &amp; ".V"</f>
        <v>DFNLCD.V</v>
      </c>
      <c r="C139" s="1416" t="s">
        <v>603</v>
      </c>
      <c r="D139" s="1407" t="s">
        <v>31</v>
      </c>
      <c r="E139" s="1408">
        <f t="shared" ref="E139:G140" si="34">SUMIF($AS$9:$AW$9,E$9,$AS139:$AW139)</f>
        <v>0</v>
      </c>
      <c r="F139" s="1408">
        <f t="shared" si="34"/>
        <v>0</v>
      </c>
      <c r="G139" s="1408">
        <f t="shared" si="34"/>
        <v>0</v>
      </c>
      <c r="H139" s="1396"/>
      <c r="I139" s="1414"/>
      <c r="J139" s="1414"/>
      <c r="K139" s="1414"/>
    </row>
    <row r="140" spans="2:11">
      <c r="B140" s="1410" t="s">
        <v>1627</v>
      </c>
      <c r="C140" s="1412" t="s">
        <v>1628</v>
      </c>
      <c r="D140" s="1407" t="s">
        <v>22</v>
      </c>
      <c r="E140" s="1408">
        <f t="shared" si="34"/>
        <v>0</v>
      </c>
      <c r="F140" s="1408">
        <f t="shared" si="34"/>
        <v>0</v>
      </c>
      <c r="G140" s="1408">
        <f t="shared" si="34"/>
        <v>0</v>
      </c>
      <c r="H140" s="1396"/>
      <c r="I140" s="1413"/>
      <c r="J140" s="1414"/>
      <c r="K140" s="1414"/>
    </row>
    <row r="141" spans="2:11">
      <c r="B141" s="1415" t="str">
        <f>B140 &amp; ".P"</f>
        <v>DFNLCN.P</v>
      </c>
      <c r="C141" s="1416" t="s">
        <v>28</v>
      </c>
      <c r="D141" s="1407" t="s">
        <v>29</v>
      </c>
      <c r="E141" s="1408">
        <f>IF(E142=0,0,E140*1000/E142)</f>
        <v>0</v>
      </c>
      <c r="F141" s="1408">
        <f>IF(F142=0,0,F140*1000/F142)</f>
        <v>0</v>
      </c>
      <c r="G141" s="1408">
        <f>IF(G142=0,0,G140*1000/G142)</f>
        <v>0</v>
      </c>
      <c r="H141" s="1396"/>
      <c r="I141" s="1413"/>
      <c r="J141" s="1414"/>
      <c r="K141" s="1414"/>
    </row>
    <row r="142" spans="2:11">
      <c r="B142" s="1415" t="str">
        <f>B140 &amp; ".V"</f>
        <v>DFNLCN.V</v>
      </c>
      <c r="C142" s="1416" t="s">
        <v>603</v>
      </c>
      <c r="D142" s="1407" t="s">
        <v>31</v>
      </c>
      <c r="E142" s="1408">
        <f t="shared" ref="E142:G143" si="35">SUMIF($AS$9:$AW$9,E$9,$AS142:$AW142)</f>
        <v>0</v>
      </c>
      <c r="F142" s="1408">
        <f t="shared" si="35"/>
        <v>0</v>
      </c>
      <c r="G142" s="1408">
        <f t="shared" si="35"/>
        <v>0</v>
      </c>
      <c r="H142" s="1396"/>
      <c r="I142" s="1414"/>
      <c r="J142" s="1414"/>
      <c r="K142" s="1414"/>
    </row>
    <row r="143" spans="2:11">
      <c r="B143" s="1410" t="s">
        <v>1549</v>
      </c>
      <c r="C143" s="1412" t="s">
        <v>1629</v>
      </c>
      <c r="D143" s="1407" t="s">
        <v>22</v>
      </c>
      <c r="E143" s="1408">
        <f t="shared" si="35"/>
        <v>0</v>
      </c>
      <c r="F143" s="1408">
        <f t="shared" si="35"/>
        <v>0</v>
      </c>
      <c r="G143" s="1408">
        <f t="shared" si="35"/>
        <v>0</v>
      </c>
      <c r="H143" s="1396"/>
      <c r="I143" s="1413"/>
      <c r="J143" s="1414"/>
      <c r="K143" s="1414"/>
    </row>
    <row r="144" spans="2:11">
      <c r="B144" s="1415" t="str">
        <f>B143 &amp; ".P"</f>
        <v>FES.P</v>
      </c>
      <c r="C144" s="1416" t="s">
        <v>28</v>
      </c>
      <c r="D144" s="1407" t="s">
        <v>29</v>
      </c>
      <c r="E144" s="1408">
        <f>IF(E145=0,0,E143*1000/E145)</f>
        <v>0</v>
      </c>
      <c r="F144" s="1408">
        <f>IF(F145=0,0,F143*1000/F145)</f>
        <v>0</v>
      </c>
      <c r="G144" s="1408">
        <f>IF(G145=0,0,G143*1000/G145)</f>
        <v>0</v>
      </c>
      <c r="H144" s="1396"/>
      <c r="I144" s="1413"/>
      <c r="J144" s="1414"/>
      <c r="K144" s="1414"/>
    </row>
    <row r="145" spans="2:11">
      <c r="B145" s="1415" t="str">
        <f>B143 &amp; ".V"</f>
        <v>FES.V</v>
      </c>
      <c r="C145" s="1416" t="s">
        <v>603</v>
      </c>
      <c r="D145" s="1407" t="s">
        <v>31</v>
      </c>
      <c r="E145" s="1408">
        <f t="shared" ref="E145:G146" si="36">SUMIF($AS$9:$AW$9,E$9,$AS145:$AW145)</f>
        <v>0</v>
      </c>
      <c r="F145" s="1408">
        <f t="shared" si="36"/>
        <v>0</v>
      </c>
      <c r="G145" s="1408">
        <f t="shared" si="36"/>
        <v>0</v>
      </c>
      <c r="H145" s="1396"/>
      <c r="I145" s="1414"/>
      <c r="J145" s="1414"/>
      <c r="K145" s="1414"/>
    </row>
    <row r="146" spans="2:11">
      <c r="B146" s="1410" t="s">
        <v>1630</v>
      </c>
      <c r="C146" s="1412" t="s">
        <v>1631</v>
      </c>
      <c r="D146" s="1407" t="s">
        <v>22</v>
      </c>
      <c r="E146" s="1408">
        <f t="shared" si="36"/>
        <v>0</v>
      </c>
      <c r="F146" s="1408">
        <f t="shared" si="36"/>
        <v>0</v>
      </c>
      <c r="G146" s="1408">
        <f t="shared" si="36"/>
        <v>0</v>
      </c>
      <c r="H146" s="1396"/>
      <c r="I146" s="1413"/>
      <c r="J146" s="1414"/>
      <c r="K146" s="1414"/>
    </row>
    <row r="147" spans="2:11">
      <c r="B147" s="1415" t="str">
        <f>B146 &amp; ".P"</f>
        <v>FECL.P</v>
      </c>
      <c r="C147" s="1416" t="s">
        <v>28</v>
      </c>
      <c r="D147" s="1407" t="s">
        <v>29</v>
      </c>
      <c r="E147" s="1408">
        <f>IF(E148=0,0,E146*1000/E148)</f>
        <v>0</v>
      </c>
      <c r="F147" s="1408">
        <f>IF(F148=0,0,F146*1000/F148)</f>
        <v>0</v>
      </c>
      <c r="G147" s="1408">
        <f>IF(G148=0,0,G146*1000/G148)</f>
        <v>0</v>
      </c>
      <c r="H147" s="1396"/>
      <c r="I147" s="1413"/>
      <c r="J147" s="1414"/>
      <c r="K147" s="1414"/>
    </row>
    <row r="148" spans="2:11">
      <c r="B148" s="1415" t="str">
        <f>B146 &amp; ".V"</f>
        <v>FECL.V</v>
      </c>
      <c r="C148" s="1416" t="s">
        <v>603</v>
      </c>
      <c r="D148" s="1407" t="s">
        <v>31</v>
      </c>
      <c r="E148" s="1408">
        <f t="shared" ref="E148:G149" si="37">SUMIF($AS$9:$AW$9,E$9,$AS148:$AW148)</f>
        <v>0</v>
      </c>
      <c r="F148" s="1408">
        <f t="shared" si="37"/>
        <v>0</v>
      </c>
      <c r="G148" s="1408">
        <f t="shared" si="37"/>
        <v>0</v>
      </c>
      <c r="H148" s="1396"/>
      <c r="I148" s="1414"/>
      <c r="J148" s="1414"/>
      <c r="K148" s="1414"/>
    </row>
    <row r="149" spans="2:11">
      <c r="B149" s="1410" t="s">
        <v>1632</v>
      </c>
      <c r="C149" s="1412" t="s">
        <v>1633</v>
      </c>
      <c r="D149" s="1407" t="s">
        <v>22</v>
      </c>
      <c r="E149" s="1408">
        <f t="shared" si="37"/>
        <v>0</v>
      </c>
      <c r="F149" s="1408">
        <f t="shared" si="37"/>
        <v>0</v>
      </c>
      <c r="G149" s="1408">
        <f t="shared" si="37"/>
        <v>0</v>
      </c>
      <c r="H149" s="1396"/>
      <c r="I149" s="1413"/>
      <c r="J149" s="1414"/>
      <c r="K149" s="1414"/>
    </row>
    <row r="150" spans="2:11">
      <c r="B150" s="1415" t="str">
        <f>B149 &amp; ".P"</f>
        <v>LIMENP.P</v>
      </c>
      <c r="C150" s="1416" t="s">
        <v>28</v>
      </c>
      <c r="D150" s="1407" t="s">
        <v>29</v>
      </c>
      <c r="E150" s="1408">
        <f>IF(E151=0,0,E149*1000/E151)</f>
        <v>0</v>
      </c>
      <c r="F150" s="1408">
        <f>IF(F151=0,0,F149*1000/F151)</f>
        <v>0</v>
      </c>
      <c r="G150" s="1408">
        <f>IF(G151=0,0,G149*1000/G151)</f>
        <v>0</v>
      </c>
      <c r="H150" s="1396"/>
      <c r="I150" s="1413"/>
      <c r="J150" s="1414"/>
      <c r="K150" s="1414"/>
    </row>
    <row r="151" spans="2:11">
      <c r="B151" s="1415" t="str">
        <f>B149 &amp; ".V"</f>
        <v>LIMENP.V</v>
      </c>
      <c r="C151" s="1416" t="s">
        <v>603</v>
      </c>
      <c r="D151" s="1407" t="s">
        <v>31</v>
      </c>
      <c r="E151" s="1408">
        <f t="shared" ref="E151:G152" si="38">SUMIF($AS$9:$AW$9,E$9,$AS151:$AW151)</f>
        <v>0</v>
      </c>
      <c r="F151" s="1408">
        <f t="shared" si="38"/>
        <v>0</v>
      </c>
      <c r="G151" s="1408">
        <f t="shared" si="38"/>
        <v>0</v>
      </c>
      <c r="H151" s="1396"/>
      <c r="I151" s="1414"/>
      <c r="J151" s="1414"/>
      <c r="K151" s="1414"/>
    </row>
    <row r="152" spans="2:11">
      <c r="B152" s="1410" t="s">
        <v>1634</v>
      </c>
      <c r="C152" s="1412" t="s">
        <v>1635</v>
      </c>
      <c r="D152" s="1407" t="s">
        <v>22</v>
      </c>
      <c r="E152" s="1408">
        <f t="shared" si="38"/>
        <v>0</v>
      </c>
      <c r="F152" s="1408">
        <f t="shared" si="38"/>
        <v>0</v>
      </c>
      <c r="G152" s="1408">
        <f t="shared" si="38"/>
        <v>0</v>
      </c>
      <c r="H152" s="1396"/>
      <c r="I152" s="1413"/>
      <c r="J152" s="1414"/>
      <c r="K152" s="1414"/>
    </row>
    <row r="153" spans="2:11">
      <c r="B153" s="1415" t="str">
        <f>B152 &amp; ".P"</f>
        <v>LIMENH.P</v>
      </c>
      <c r="C153" s="1416" t="s">
        <v>28</v>
      </c>
      <c r="D153" s="1407" t="s">
        <v>29</v>
      </c>
      <c r="E153" s="1408">
        <f>IF(E154=0,0,E152*1000/E154)</f>
        <v>0</v>
      </c>
      <c r="F153" s="1408">
        <f>IF(F154=0,0,F152*1000/F154)</f>
        <v>0</v>
      </c>
      <c r="G153" s="1408">
        <f>IF(G154=0,0,G152*1000/G154)</f>
        <v>0</v>
      </c>
      <c r="H153" s="1396"/>
      <c r="I153" s="1413"/>
      <c r="J153" s="1414"/>
      <c r="K153" s="1414"/>
    </row>
    <row r="154" spans="2:11">
      <c r="B154" s="1415" t="str">
        <f>B152 &amp; ".V"</f>
        <v>LIMENH.V</v>
      </c>
      <c r="C154" s="1416" t="s">
        <v>603</v>
      </c>
      <c r="D154" s="1407" t="s">
        <v>31</v>
      </c>
      <c r="E154" s="1408">
        <f t="shared" ref="E154:G155" si="39">SUMIF($AS$9:$AW$9,E$9,$AS154:$AW154)</f>
        <v>0</v>
      </c>
      <c r="F154" s="1408">
        <f t="shared" si="39"/>
        <v>0</v>
      </c>
      <c r="G154" s="1408">
        <f t="shared" si="39"/>
        <v>0</v>
      </c>
      <c r="H154" s="1396"/>
      <c r="I154" s="1414"/>
      <c r="J154" s="1414"/>
      <c r="K154" s="1414"/>
    </row>
    <row r="155" spans="2:11">
      <c r="B155" s="1410" t="s">
        <v>1636</v>
      </c>
      <c r="C155" s="1412" t="s">
        <v>1637</v>
      </c>
      <c r="D155" s="1407" t="s">
        <v>22</v>
      </c>
      <c r="E155" s="1408">
        <f t="shared" si="39"/>
        <v>0</v>
      </c>
      <c r="F155" s="1408">
        <f t="shared" si="39"/>
        <v>0</v>
      </c>
      <c r="G155" s="1408">
        <f t="shared" si="39"/>
        <v>0</v>
      </c>
      <c r="H155" s="1396"/>
      <c r="I155" s="1413"/>
      <c r="J155" s="1414"/>
      <c r="K155" s="1414"/>
    </row>
    <row r="156" spans="2:11">
      <c r="B156" s="1415" t="str">
        <f>B155 &amp; ".P"</f>
        <v>LIMECL.P</v>
      </c>
      <c r="C156" s="1416" t="s">
        <v>28</v>
      </c>
      <c r="D156" s="1407" t="s">
        <v>29</v>
      </c>
      <c r="E156" s="1408">
        <f>IF(E157=0,0,E155*1000/E157)</f>
        <v>0</v>
      </c>
      <c r="F156" s="1408">
        <f>IF(F157=0,0,F155*1000/F157)</f>
        <v>0</v>
      </c>
      <c r="G156" s="1408">
        <f>IF(G157=0,0,G155*1000/G157)</f>
        <v>0</v>
      </c>
      <c r="H156" s="1396"/>
      <c r="I156" s="1413"/>
      <c r="J156" s="1414"/>
      <c r="K156" s="1414"/>
    </row>
    <row r="157" spans="2:11">
      <c r="B157" s="1415" t="str">
        <f>B155 &amp; ".V"</f>
        <v>LIMECL.V</v>
      </c>
      <c r="C157" s="1416" t="s">
        <v>603</v>
      </c>
      <c r="D157" s="1407" t="s">
        <v>31</v>
      </c>
      <c r="E157" s="1408">
        <f t="shared" ref="E157:G158" si="40">SUMIF($AS$9:$AW$9,E$9,$AS157:$AW157)</f>
        <v>0</v>
      </c>
      <c r="F157" s="1408">
        <f t="shared" si="40"/>
        <v>0</v>
      </c>
      <c r="G157" s="1408">
        <f t="shared" si="40"/>
        <v>0</v>
      </c>
      <c r="H157" s="1396"/>
      <c r="I157" s="1414"/>
      <c r="J157" s="1414"/>
      <c r="K157" s="1414"/>
    </row>
    <row r="158" spans="2:11">
      <c r="B158" s="1410" t="s">
        <v>1638</v>
      </c>
      <c r="C158" s="1412" t="s">
        <v>1639</v>
      </c>
      <c r="D158" s="1407" t="s">
        <v>22</v>
      </c>
      <c r="E158" s="1408">
        <f t="shared" si="40"/>
        <v>0</v>
      </c>
      <c r="F158" s="1408">
        <f t="shared" si="40"/>
        <v>0</v>
      </c>
      <c r="G158" s="1408">
        <f t="shared" si="40"/>
        <v>0</v>
      </c>
      <c r="H158" s="1396"/>
      <c r="I158" s="1413"/>
      <c r="J158" s="1414"/>
      <c r="K158" s="1414"/>
    </row>
    <row r="159" spans="2:11">
      <c r="B159" s="1415" t="str">
        <f>B158 &amp; ".P"</f>
        <v>KN.P</v>
      </c>
      <c r="C159" s="1416" t="s">
        <v>28</v>
      </c>
      <c r="D159" s="1407" t="s">
        <v>29</v>
      </c>
      <c r="E159" s="1408">
        <f>IF(E160=0,0,E158*1000/E160)</f>
        <v>0</v>
      </c>
      <c r="F159" s="1408">
        <f>IF(F160=0,0,F158*1000/F160)</f>
        <v>0</v>
      </c>
      <c r="G159" s="1408">
        <f>IF(G160=0,0,G158*1000/G160)</f>
        <v>0</v>
      </c>
      <c r="H159" s="1396"/>
      <c r="I159" s="1413"/>
      <c r="J159" s="1414"/>
      <c r="K159" s="1414"/>
    </row>
    <row r="160" spans="2:11">
      <c r="B160" s="1415" t="str">
        <f>B158 &amp; ".V"</f>
        <v>KN.V</v>
      </c>
      <c r="C160" s="1416" t="s">
        <v>603</v>
      </c>
      <c r="D160" s="1407" t="s">
        <v>31</v>
      </c>
      <c r="E160" s="1408">
        <f t="shared" ref="E160:G161" si="41">SUMIF($AS$9:$AW$9,E$9,$AS160:$AW160)</f>
        <v>0</v>
      </c>
      <c r="F160" s="1408">
        <f t="shared" si="41"/>
        <v>0</v>
      </c>
      <c r="G160" s="1408">
        <f t="shared" si="41"/>
        <v>0</v>
      </c>
      <c r="H160" s="1396"/>
      <c r="I160" s="1414"/>
      <c r="J160" s="1414"/>
      <c r="K160" s="1414"/>
    </row>
    <row r="161" spans="2:11">
      <c r="B161" s="1410" t="s">
        <v>1640</v>
      </c>
      <c r="C161" s="1412" t="s">
        <v>1641</v>
      </c>
      <c r="D161" s="1407" t="s">
        <v>22</v>
      </c>
      <c r="E161" s="1408">
        <f t="shared" si="41"/>
        <v>0</v>
      </c>
      <c r="F161" s="1408">
        <f t="shared" si="41"/>
        <v>0</v>
      </c>
      <c r="G161" s="1408">
        <f t="shared" si="41"/>
        <v>0</v>
      </c>
      <c r="H161" s="1396"/>
      <c r="I161" s="1413"/>
      <c r="J161" s="1414"/>
      <c r="K161" s="1414"/>
    </row>
    <row r="162" spans="2:11">
      <c r="B162" s="1415" t="str">
        <f>B161 &amp; ".P"</f>
        <v>KCR.P</v>
      </c>
      <c r="C162" s="1416" t="s">
        <v>28</v>
      </c>
      <c r="D162" s="1407" t="s">
        <v>29</v>
      </c>
      <c r="E162" s="1408">
        <f>IF(E163=0,0,E161*1000/E163)</f>
        <v>0</v>
      </c>
      <c r="F162" s="1408">
        <f>IF(F163=0,0,F161*1000/F163)</f>
        <v>0</v>
      </c>
      <c r="G162" s="1408">
        <f>IF(G163=0,0,G161*1000/G163)</f>
        <v>0</v>
      </c>
      <c r="H162" s="1396"/>
      <c r="I162" s="1413"/>
      <c r="J162" s="1414"/>
      <c r="K162" s="1414"/>
    </row>
    <row r="163" spans="2:11">
      <c r="B163" s="1415" t="str">
        <f>B161 &amp; ".V"</f>
        <v>KCR.V</v>
      </c>
      <c r="C163" s="1416" t="s">
        <v>603</v>
      </c>
      <c r="D163" s="1407" t="s">
        <v>31</v>
      </c>
      <c r="E163" s="1408">
        <f t="shared" ref="E163:G164" si="42">SUMIF($AS$9:$AW$9,E$9,$AS163:$AW163)</f>
        <v>0</v>
      </c>
      <c r="F163" s="1408">
        <f t="shared" si="42"/>
        <v>0</v>
      </c>
      <c r="G163" s="1408">
        <f t="shared" si="42"/>
        <v>0</v>
      </c>
      <c r="H163" s="1396"/>
      <c r="I163" s="1414"/>
      <c r="J163" s="1414"/>
      <c r="K163" s="1414"/>
    </row>
    <row r="164" spans="2:11">
      <c r="B164" s="1410" t="s">
        <v>1642</v>
      </c>
      <c r="C164" s="1412" t="s">
        <v>1643</v>
      </c>
      <c r="D164" s="1407" t="s">
        <v>22</v>
      </c>
      <c r="E164" s="1408">
        <f t="shared" si="42"/>
        <v>0</v>
      </c>
      <c r="F164" s="1408">
        <f t="shared" si="42"/>
        <v>0</v>
      </c>
      <c r="G164" s="1408">
        <f t="shared" si="42"/>
        <v>0</v>
      </c>
      <c r="H164" s="1396"/>
      <c r="I164" s="1413"/>
      <c r="J164" s="1414"/>
      <c r="K164" s="1414"/>
    </row>
    <row r="165" spans="2:11">
      <c r="B165" s="1415" t="str">
        <f>B164 &amp; ".P"</f>
        <v>KI.P</v>
      </c>
      <c r="C165" s="1416" t="s">
        <v>28</v>
      </c>
      <c r="D165" s="1407" t="s">
        <v>29</v>
      </c>
      <c r="E165" s="1408">
        <f>IF(E166=0,0,E164*1000/E166)</f>
        <v>0</v>
      </c>
      <c r="F165" s="1408">
        <f>IF(F166=0,0,F164*1000/F166)</f>
        <v>0</v>
      </c>
      <c r="G165" s="1408">
        <f>IF(G166=0,0,G164*1000/G166)</f>
        <v>0</v>
      </c>
      <c r="H165" s="1396"/>
      <c r="I165" s="1413"/>
      <c r="J165" s="1414"/>
      <c r="K165" s="1414"/>
    </row>
    <row r="166" spans="2:11">
      <c r="B166" s="1415" t="str">
        <f>B164 &amp; ".V"</f>
        <v>KI.V</v>
      </c>
      <c r="C166" s="1416" t="s">
        <v>603</v>
      </c>
      <c r="D166" s="1407" t="s">
        <v>31</v>
      </c>
      <c r="E166" s="1408">
        <f t="shared" ref="E166:G167" si="43">SUMIF($AS$9:$AW$9,E$9,$AS166:$AW166)</f>
        <v>0</v>
      </c>
      <c r="F166" s="1408">
        <f t="shared" si="43"/>
        <v>0</v>
      </c>
      <c r="G166" s="1408">
        <f t="shared" si="43"/>
        <v>0</v>
      </c>
      <c r="H166" s="1396"/>
      <c r="I166" s="1414"/>
      <c r="J166" s="1414"/>
      <c r="K166" s="1414"/>
    </row>
    <row r="167" spans="2:11">
      <c r="B167" s="1410" t="s">
        <v>1644</v>
      </c>
      <c r="C167" s="1412" t="s">
        <v>1645</v>
      </c>
      <c r="D167" s="1407" t="s">
        <v>22</v>
      </c>
      <c r="E167" s="1408">
        <f t="shared" si="43"/>
        <v>0</v>
      </c>
      <c r="F167" s="1408">
        <f t="shared" si="43"/>
        <v>0</v>
      </c>
      <c r="G167" s="1408">
        <f t="shared" si="43"/>
        <v>0</v>
      </c>
      <c r="H167" s="1396"/>
      <c r="I167" s="1413"/>
      <c r="J167" s="1414"/>
      <c r="K167" s="1414"/>
    </row>
    <row r="168" spans="2:11">
      <c r="B168" s="1415" t="str">
        <f>B167 &amp; ".P"</f>
        <v>KMN.P</v>
      </c>
      <c r="C168" s="1416" t="s">
        <v>28</v>
      </c>
      <c r="D168" s="1407" t="s">
        <v>29</v>
      </c>
      <c r="E168" s="1408">
        <f>IF(E169=0,0,E167*1000/E169)</f>
        <v>0</v>
      </c>
      <c r="F168" s="1408">
        <f>IF(F169=0,0,F167*1000/F169)</f>
        <v>0</v>
      </c>
      <c r="G168" s="1408">
        <f>IF(G169=0,0,G167*1000/G169)</f>
        <v>0</v>
      </c>
      <c r="H168" s="1396"/>
      <c r="I168" s="1413"/>
      <c r="J168" s="1414"/>
      <c r="K168" s="1414"/>
    </row>
    <row r="169" spans="2:11">
      <c r="B169" s="1415" t="str">
        <f>B167 &amp; ".V"</f>
        <v>KMN.V</v>
      </c>
      <c r="C169" s="1416" t="s">
        <v>603</v>
      </c>
      <c r="D169" s="1407" t="s">
        <v>31</v>
      </c>
      <c r="E169" s="1408">
        <f t="shared" ref="E169:G170" si="44">SUMIF($AS$9:$AW$9,E$9,$AS169:$AW169)</f>
        <v>0</v>
      </c>
      <c r="F169" s="1408">
        <f t="shared" si="44"/>
        <v>0</v>
      </c>
      <c r="G169" s="1408">
        <f t="shared" si="44"/>
        <v>0</v>
      </c>
      <c r="H169" s="1396"/>
      <c r="I169" s="1414"/>
      <c r="J169" s="1414"/>
      <c r="K169" s="1414"/>
    </row>
    <row r="170" spans="2:11">
      <c r="B170" s="1410" t="s">
        <v>1646</v>
      </c>
      <c r="C170" s="1412" t="s">
        <v>1647</v>
      </c>
      <c r="D170" s="1407" t="s">
        <v>22</v>
      </c>
      <c r="E170" s="1408">
        <f t="shared" si="44"/>
        <v>0</v>
      </c>
      <c r="F170" s="1408">
        <f t="shared" si="44"/>
        <v>0</v>
      </c>
      <c r="G170" s="1408">
        <f t="shared" si="44"/>
        <v>0</v>
      </c>
      <c r="H170" s="1396"/>
      <c r="I170" s="1413"/>
      <c r="J170" s="1414"/>
      <c r="K170" s="1414"/>
    </row>
    <row r="171" spans="2:11">
      <c r="B171" s="1415" t="str">
        <f>B170 &amp; ".P"</f>
        <v>KP.P</v>
      </c>
      <c r="C171" s="1416" t="s">
        <v>28</v>
      </c>
      <c r="D171" s="1407" t="s">
        <v>29</v>
      </c>
      <c r="E171" s="1408">
        <f>IF(E172=0,0,E170*1000/E172)</f>
        <v>0</v>
      </c>
      <c r="F171" s="1408">
        <f>IF(F172=0,0,F170*1000/F172)</f>
        <v>0</v>
      </c>
      <c r="G171" s="1408">
        <f>IF(G172=0,0,G170*1000/G172)</f>
        <v>0</v>
      </c>
      <c r="H171" s="1396"/>
      <c r="I171" s="1413"/>
      <c r="J171" s="1414"/>
      <c r="K171" s="1414"/>
    </row>
    <row r="172" spans="2:11">
      <c r="B172" s="1415" t="str">
        <f>B170 &amp; ".V"</f>
        <v>KP.V</v>
      </c>
      <c r="C172" s="1416" t="s">
        <v>603</v>
      </c>
      <c r="D172" s="1407" t="s">
        <v>31</v>
      </c>
      <c r="E172" s="1408">
        <f t="shared" ref="E172:G173" si="45">SUMIF($AS$9:$AW$9,E$9,$AS172:$AW172)</f>
        <v>0</v>
      </c>
      <c r="F172" s="1408">
        <f t="shared" si="45"/>
        <v>0</v>
      </c>
      <c r="G172" s="1408">
        <f t="shared" si="45"/>
        <v>0</v>
      </c>
      <c r="H172" s="1396"/>
      <c r="I172" s="1414"/>
      <c r="J172" s="1414"/>
      <c r="K172" s="1414"/>
    </row>
    <row r="173" spans="2:11">
      <c r="B173" s="1410" t="s">
        <v>1648</v>
      </c>
      <c r="C173" s="1412" t="s">
        <v>1649</v>
      </c>
      <c r="D173" s="1407" t="s">
        <v>22</v>
      </c>
      <c r="E173" s="1408">
        <f t="shared" si="45"/>
        <v>0</v>
      </c>
      <c r="F173" s="1408">
        <f t="shared" si="45"/>
        <v>0</v>
      </c>
      <c r="G173" s="1408">
        <f t="shared" si="45"/>
        <v>0</v>
      </c>
      <c r="H173" s="1396"/>
      <c r="I173" s="1413"/>
      <c r="J173" s="1414"/>
      <c r="K173" s="1414"/>
    </row>
    <row r="174" spans="2:11">
      <c r="B174" s="1415" t="str">
        <f>B173 &amp; ".P"</f>
        <v>HCL.P</v>
      </c>
      <c r="C174" s="1416" t="s">
        <v>28</v>
      </c>
      <c r="D174" s="1407" t="s">
        <v>29</v>
      </c>
      <c r="E174" s="1408">
        <f>IF(E175=0,0,E173*1000/E175)</f>
        <v>0</v>
      </c>
      <c r="F174" s="1408">
        <f>IF(F175=0,0,F173*1000/F175)</f>
        <v>0</v>
      </c>
      <c r="G174" s="1408">
        <f>IF(G175=0,0,G173*1000/G175)</f>
        <v>0</v>
      </c>
      <c r="H174" s="1396"/>
      <c r="I174" s="1413"/>
      <c r="J174" s="1414"/>
      <c r="K174" s="1414"/>
    </row>
    <row r="175" spans="2:11">
      <c r="B175" s="1415" t="str">
        <f>B173 &amp; ".V"</f>
        <v>HCL.V</v>
      </c>
      <c r="C175" s="1416" t="s">
        <v>603</v>
      </c>
      <c r="D175" s="1407" t="s">
        <v>31</v>
      </c>
      <c r="E175" s="1408">
        <f t="shared" ref="E175:G176" si="46">SUMIF($AS$9:$AW$9,E$9,$AS175:$AW175)</f>
        <v>0</v>
      </c>
      <c r="F175" s="1408">
        <f t="shared" si="46"/>
        <v>0</v>
      </c>
      <c r="G175" s="1408">
        <f t="shared" si="46"/>
        <v>0</v>
      </c>
      <c r="H175" s="1396"/>
      <c r="I175" s="1414"/>
      <c r="J175" s="1414"/>
      <c r="K175" s="1414"/>
    </row>
    <row r="176" spans="2:11">
      <c r="B176" s="1410" t="s">
        <v>1650</v>
      </c>
      <c r="C176" s="1412" t="s">
        <v>1651</v>
      </c>
      <c r="D176" s="1407" t="s">
        <v>22</v>
      </c>
      <c r="E176" s="1408">
        <f t="shared" si="46"/>
        <v>0</v>
      </c>
      <c r="F176" s="1408">
        <f t="shared" si="46"/>
        <v>0</v>
      </c>
      <c r="G176" s="1408">
        <f t="shared" si="46"/>
        <v>0</v>
      </c>
      <c r="H176" s="1396"/>
      <c r="I176" s="1413"/>
      <c r="J176" s="1414"/>
      <c r="K176" s="1414"/>
    </row>
    <row r="177" spans="2:11">
      <c r="B177" s="1415" t="str">
        <f>B176 &amp; ".P"</f>
        <v>KNA.P</v>
      </c>
      <c r="C177" s="1416" t="s">
        <v>28</v>
      </c>
      <c r="D177" s="1407" t="s">
        <v>29</v>
      </c>
      <c r="E177" s="1408">
        <f>IF(E178=0,0,E176*1000/E178)</f>
        <v>0</v>
      </c>
      <c r="F177" s="1408">
        <f>IF(F178=0,0,F176*1000/F178)</f>
        <v>0</v>
      </c>
      <c r="G177" s="1408">
        <f>IF(G178=0,0,G176*1000/G178)</f>
        <v>0</v>
      </c>
      <c r="H177" s="1396"/>
      <c r="I177" s="1413"/>
      <c r="J177" s="1414"/>
      <c r="K177" s="1414"/>
    </row>
    <row r="178" spans="2:11">
      <c r="B178" s="1415" t="str">
        <f>B176 &amp; ".V"</f>
        <v>KNA.V</v>
      </c>
      <c r="C178" s="1416" t="s">
        <v>603</v>
      </c>
      <c r="D178" s="1407" t="s">
        <v>31</v>
      </c>
      <c r="E178" s="1408">
        <f t="shared" ref="E178:G179" si="47">SUMIF($AS$9:$AW$9,E$9,$AS178:$AW178)</f>
        <v>0</v>
      </c>
      <c r="F178" s="1408">
        <f t="shared" si="47"/>
        <v>0</v>
      </c>
      <c r="G178" s="1408">
        <f t="shared" si="47"/>
        <v>0</v>
      </c>
      <c r="H178" s="1396"/>
      <c r="I178" s="1414"/>
      <c r="J178" s="1414"/>
      <c r="K178" s="1414"/>
    </row>
    <row r="179" spans="2:11">
      <c r="B179" s="1410" t="s">
        <v>1652</v>
      </c>
      <c r="C179" s="1412" t="s">
        <v>1653</v>
      </c>
      <c r="D179" s="1407" t="s">
        <v>22</v>
      </c>
      <c r="E179" s="1408">
        <f t="shared" si="47"/>
        <v>0</v>
      </c>
      <c r="F179" s="1408">
        <f t="shared" si="47"/>
        <v>0</v>
      </c>
      <c r="G179" s="1408">
        <f t="shared" si="47"/>
        <v>0</v>
      </c>
      <c r="H179" s="1396"/>
      <c r="I179" s="1413"/>
      <c r="J179" s="1414"/>
      <c r="K179" s="1414"/>
    </row>
    <row r="180" spans="2:11">
      <c r="B180" s="1415" t="str">
        <f>B179 &amp; ".P"</f>
        <v>CAC.P</v>
      </c>
      <c r="C180" s="1416" t="s">
        <v>28</v>
      </c>
      <c r="D180" s="1407" t="s">
        <v>29</v>
      </c>
      <c r="E180" s="1408">
        <f>IF(E181=0,0,E179*1000/E181)</f>
        <v>0</v>
      </c>
      <c r="F180" s="1408">
        <f>IF(F181=0,0,F179*1000/F181)</f>
        <v>0</v>
      </c>
      <c r="G180" s="1408">
        <f>IF(G181=0,0,G179*1000/G181)</f>
        <v>0</v>
      </c>
      <c r="H180" s="1396"/>
      <c r="I180" s="1413"/>
      <c r="J180" s="1414"/>
      <c r="K180" s="1414"/>
    </row>
    <row r="181" spans="2:11">
      <c r="B181" s="1415" t="str">
        <f>B179 &amp; ".V"</f>
        <v>CAC.V</v>
      </c>
      <c r="C181" s="1416" t="s">
        <v>603</v>
      </c>
      <c r="D181" s="1407" t="s">
        <v>31</v>
      </c>
      <c r="E181" s="1408">
        <f t="shared" ref="E181:G182" si="48">SUMIF($AS$9:$AW$9,E$9,$AS181:$AW181)</f>
        <v>0</v>
      </c>
      <c r="F181" s="1408">
        <f t="shared" si="48"/>
        <v>0</v>
      </c>
      <c r="G181" s="1408">
        <f t="shared" si="48"/>
        <v>0</v>
      </c>
      <c r="H181" s="1396"/>
      <c r="I181" s="1414"/>
      <c r="J181" s="1414"/>
      <c r="K181" s="1414"/>
    </row>
    <row r="182" spans="2:11">
      <c r="B182" s="1410" t="s">
        <v>1654</v>
      </c>
      <c r="C182" s="1412" t="s">
        <v>1655</v>
      </c>
      <c r="D182" s="1407" t="s">
        <v>22</v>
      </c>
      <c r="E182" s="1408">
        <f t="shared" si="48"/>
        <v>0</v>
      </c>
      <c r="F182" s="1408">
        <f t="shared" si="48"/>
        <v>0</v>
      </c>
      <c r="G182" s="1408">
        <f t="shared" si="48"/>
        <v>0</v>
      </c>
      <c r="H182" s="1396"/>
      <c r="I182" s="1413"/>
      <c r="J182" s="1414"/>
      <c r="K182" s="1414"/>
    </row>
    <row r="183" spans="2:11">
      <c r="B183" s="1415" t="str">
        <f>B182 &amp; ".P"</f>
        <v>CACL.P</v>
      </c>
      <c r="C183" s="1416" t="s">
        <v>28</v>
      </c>
      <c r="D183" s="1407" t="s">
        <v>29</v>
      </c>
      <c r="E183" s="1408">
        <f>IF(E184=0,0,E182*1000/E184)</f>
        <v>0</v>
      </c>
      <c r="F183" s="1408">
        <f>IF(F184=0,0,F182*1000/F184)</f>
        <v>0</v>
      </c>
      <c r="G183" s="1408">
        <f>IF(G184=0,0,G182*1000/G184)</f>
        <v>0</v>
      </c>
      <c r="H183" s="1396"/>
      <c r="I183" s="1413"/>
      <c r="J183" s="1414"/>
      <c r="K183" s="1414"/>
    </row>
    <row r="184" spans="2:11">
      <c r="B184" s="1415" t="str">
        <f>B182 &amp; ".V"</f>
        <v>CACL.V</v>
      </c>
      <c r="C184" s="1416" t="s">
        <v>603</v>
      </c>
      <c r="D184" s="1407" t="s">
        <v>31</v>
      </c>
      <c r="E184" s="1408">
        <f t="shared" ref="E184:G185" si="49">SUMIF($AS$9:$AW$9,E$9,$AS184:$AW184)</f>
        <v>0</v>
      </c>
      <c r="F184" s="1408">
        <f t="shared" si="49"/>
        <v>0</v>
      </c>
      <c r="G184" s="1408">
        <f t="shared" si="49"/>
        <v>0</v>
      </c>
      <c r="H184" s="1396"/>
      <c r="I184" s="1414"/>
      <c r="J184" s="1414"/>
      <c r="K184" s="1414"/>
    </row>
    <row r="185" spans="2:11">
      <c r="B185" s="1410" t="s">
        <v>1656</v>
      </c>
      <c r="C185" s="1412" t="s">
        <v>1657</v>
      </c>
      <c r="D185" s="1407" t="s">
        <v>22</v>
      </c>
      <c r="E185" s="1408">
        <f t="shared" si="49"/>
        <v>0</v>
      </c>
      <c r="F185" s="1408">
        <f t="shared" si="49"/>
        <v>0</v>
      </c>
      <c r="G185" s="1408">
        <f t="shared" si="49"/>
        <v>0</v>
      </c>
      <c r="H185" s="1396"/>
      <c r="I185" s="1413"/>
      <c r="J185" s="1414"/>
      <c r="K185" s="1414"/>
    </row>
    <row r="186" spans="2:11">
      <c r="B186" s="1415" t="str">
        <f>B185 &amp; ".P"</f>
        <v>CAHPCL.P</v>
      </c>
      <c r="C186" s="1416" t="s">
        <v>28</v>
      </c>
      <c r="D186" s="1407" t="s">
        <v>29</v>
      </c>
      <c r="E186" s="1408">
        <f>IF(E187=0,0,E185*1000/E187)</f>
        <v>0</v>
      </c>
      <c r="F186" s="1408">
        <f>IF(F187=0,0,F185*1000/F187)</f>
        <v>0</v>
      </c>
      <c r="G186" s="1408">
        <f>IF(G187=0,0,G185*1000/G187)</f>
        <v>0</v>
      </c>
      <c r="H186" s="1396"/>
      <c r="I186" s="1413"/>
      <c r="J186" s="1414"/>
      <c r="K186" s="1414"/>
    </row>
    <row r="187" spans="2:11">
      <c r="B187" s="1415" t="str">
        <f>B185 &amp; ".V"</f>
        <v>CAHPCL.V</v>
      </c>
      <c r="C187" s="1416" t="s">
        <v>603</v>
      </c>
      <c r="D187" s="1407" t="s">
        <v>31</v>
      </c>
      <c r="E187" s="1408">
        <f t="shared" ref="E187:G188" si="50">SUMIF($AS$9:$AW$9,E$9,$AS187:$AW187)</f>
        <v>0</v>
      </c>
      <c r="F187" s="1408">
        <f t="shared" si="50"/>
        <v>0</v>
      </c>
      <c r="G187" s="1408">
        <f t="shared" si="50"/>
        <v>0</v>
      </c>
      <c r="H187" s="1396"/>
      <c r="I187" s="1414"/>
      <c r="J187" s="1414"/>
      <c r="K187" s="1414"/>
    </row>
    <row r="188" spans="2:11">
      <c r="B188" s="1410" t="s">
        <v>1658</v>
      </c>
      <c r="C188" s="1412" t="s">
        <v>1659</v>
      </c>
      <c r="D188" s="1407" t="s">
        <v>22</v>
      </c>
      <c r="E188" s="1408">
        <f t="shared" si="50"/>
        <v>0</v>
      </c>
      <c r="F188" s="1408">
        <f t="shared" si="50"/>
        <v>0</v>
      </c>
      <c r="G188" s="1408">
        <f t="shared" si="50"/>
        <v>0</v>
      </c>
      <c r="H188" s="1396"/>
      <c r="I188" s="1413"/>
      <c r="J188" s="1414"/>
      <c r="K188" s="1414"/>
    </row>
    <row r="189" spans="2:11">
      <c r="B189" s="1415" t="str">
        <f>B188 &amp; ".P"</f>
        <v>SAND.P</v>
      </c>
      <c r="C189" s="1416" t="s">
        <v>28</v>
      </c>
      <c r="D189" s="1407" t="s">
        <v>29</v>
      </c>
      <c r="E189" s="1408">
        <f>IF(E190=0,0,E188*1000/E190)</f>
        <v>0</v>
      </c>
      <c r="F189" s="1408">
        <f>IF(F190=0,0,F188*1000/F190)</f>
        <v>0</v>
      </c>
      <c r="G189" s="1408">
        <f>IF(G190=0,0,G188*1000/G190)</f>
        <v>0</v>
      </c>
      <c r="H189" s="1396"/>
      <c r="I189" s="1413"/>
      <c r="J189" s="1414"/>
      <c r="K189" s="1414"/>
    </row>
    <row r="190" spans="2:11">
      <c r="B190" s="1415" t="str">
        <f>B188 &amp; ".V"</f>
        <v>SAND.V</v>
      </c>
      <c r="C190" s="1416" t="s">
        <v>603</v>
      </c>
      <c r="D190" s="1407" t="s">
        <v>31</v>
      </c>
      <c r="E190" s="1408">
        <f t="shared" ref="E190:G191" si="51">SUMIF($AS$9:$AW$9,E$9,$AS190:$AW190)</f>
        <v>0</v>
      </c>
      <c r="F190" s="1408">
        <f t="shared" si="51"/>
        <v>0</v>
      </c>
      <c r="G190" s="1408">
        <f t="shared" si="51"/>
        <v>0</v>
      </c>
      <c r="H190" s="1396"/>
      <c r="I190" s="1414"/>
      <c r="J190" s="1414"/>
      <c r="K190" s="1414"/>
    </row>
    <row r="191" spans="2:11">
      <c r="B191" s="1410" t="s">
        <v>1660</v>
      </c>
      <c r="C191" s="1412" t="s">
        <v>1661</v>
      </c>
      <c r="D191" s="1407" t="s">
        <v>22</v>
      </c>
      <c r="E191" s="1408">
        <f t="shared" si="51"/>
        <v>0</v>
      </c>
      <c r="F191" s="1408">
        <f t="shared" si="51"/>
        <v>0</v>
      </c>
      <c r="G191" s="1408">
        <f t="shared" si="51"/>
        <v>0</v>
      </c>
      <c r="H191" s="1396"/>
      <c r="I191" s="1413"/>
      <c r="J191" s="1414"/>
      <c r="K191" s="1414"/>
    </row>
    <row r="192" spans="2:11">
      <c r="B192" s="1415" t="str">
        <f>B191 &amp; ".P"</f>
        <v>ACIDN.P</v>
      </c>
      <c r="C192" s="1416" t="s">
        <v>28</v>
      </c>
      <c r="D192" s="1407" t="s">
        <v>29</v>
      </c>
      <c r="E192" s="1408">
        <f>IF(E193=0,0,E191*1000/E193)</f>
        <v>0</v>
      </c>
      <c r="F192" s="1408">
        <f>IF(F193=0,0,F191*1000/F193)</f>
        <v>0</v>
      </c>
      <c r="G192" s="1408">
        <f>IF(G193=0,0,G191*1000/G193)</f>
        <v>0</v>
      </c>
      <c r="H192" s="1396"/>
      <c r="I192" s="1413"/>
      <c r="J192" s="1414"/>
      <c r="K192" s="1414"/>
    </row>
    <row r="193" spans="2:11">
      <c r="B193" s="1415" t="str">
        <f>B191 &amp; ".V"</f>
        <v>ACIDN.V</v>
      </c>
      <c r="C193" s="1416" t="s">
        <v>603</v>
      </c>
      <c r="D193" s="1407" t="s">
        <v>31</v>
      </c>
      <c r="E193" s="1408">
        <f t="shared" ref="E193:G194" si="52">SUMIF($AS$9:$AW$9,E$9,$AS193:$AW193)</f>
        <v>0</v>
      </c>
      <c r="F193" s="1408">
        <f t="shared" si="52"/>
        <v>0</v>
      </c>
      <c r="G193" s="1408">
        <f t="shared" si="52"/>
        <v>0</v>
      </c>
      <c r="H193" s="1396"/>
      <c r="I193" s="1414"/>
      <c r="J193" s="1414"/>
      <c r="K193" s="1414"/>
    </row>
    <row r="194" spans="2:11">
      <c r="B194" s="1410" t="s">
        <v>1662</v>
      </c>
      <c r="C194" s="1412" t="s">
        <v>1663</v>
      </c>
      <c r="D194" s="1407" t="s">
        <v>22</v>
      </c>
      <c r="E194" s="1408">
        <f t="shared" si="52"/>
        <v>0</v>
      </c>
      <c r="F194" s="1408">
        <f t="shared" si="52"/>
        <v>0</v>
      </c>
      <c r="G194" s="1408">
        <f t="shared" si="52"/>
        <v>0</v>
      </c>
      <c r="H194" s="1396"/>
      <c r="I194" s="1413"/>
      <c r="J194" s="1414"/>
      <c r="K194" s="1414"/>
    </row>
    <row r="195" spans="2:11">
      <c r="B195" s="1415" t="str">
        <f>B194 &amp; ".P"</f>
        <v>ACIDA.P</v>
      </c>
      <c r="C195" s="1416" t="s">
        <v>28</v>
      </c>
      <c r="D195" s="1407" t="s">
        <v>29</v>
      </c>
      <c r="E195" s="1408">
        <f>IF(E196=0,0,E194*1000/E196)</f>
        <v>0</v>
      </c>
      <c r="F195" s="1408">
        <f>IF(F196=0,0,F194*1000/F196)</f>
        <v>0</v>
      </c>
      <c r="G195" s="1408">
        <f>IF(G196=0,0,G194*1000/G196)</f>
        <v>0</v>
      </c>
      <c r="H195" s="1396"/>
      <c r="I195" s="1413"/>
      <c r="J195" s="1414"/>
      <c r="K195" s="1414"/>
    </row>
    <row r="196" spans="2:11">
      <c r="B196" s="1415" t="str">
        <f>B194 &amp; ".V"</f>
        <v>ACIDA.V</v>
      </c>
      <c r="C196" s="1416" t="s">
        <v>603</v>
      </c>
      <c r="D196" s="1407" t="s">
        <v>31</v>
      </c>
      <c r="E196" s="1408">
        <f t="shared" ref="E196:G197" si="53">SUMIF($AS$9:$AW$9,E$9,$AS196:$AW196)</f>
        <v>0</v>
      </c>
      <c r="F196" s="1408">
        <f t="shared" si="53"/>
        <v>0</v>
      </c>
      <c r="G196" s="1408">
        <f t="shared" si="53"/>
        <v>0</v>
      </c>
      <c r="H196" s="1396"/>
      <c r="I196" s="1414"/>
      <c r="J196" s="1414"/>
      <c r="K196" s="1414"/>
    </row>
    <row r="197" spans="2:11">
      <c r="B197" s="1410" t="s">
        <v>1664</v>
      </c>
      <c r="C197" s="1412" t="s">
        <v>1665</v>
      </c>
      <c r="D197" s="1407" t="s">
        <v>22</v>
      </c>
      <c r="E197" s="1408">
        <f t="shared" si="53"/>
        <v>0</v>
      </c>
      <c r="F197" s="1408">
        <f t="shared" si="53"/>
        <v>0</v>
      </c>
      <c r="G197" s="1408">
        <f t="shared" si="53"/>
        <v>0</v>
      </c>
      <c r="H197" s="1396"/>
      <c r="I197" s="1413"/>
      <c r="J197" s="1414"/>
      <c r="K197" s="1414"/>
    </row>
    <row r="198" spans="2:11">
      <c r="B198" s="1415" t="str">
        <f>B197 &amp; ".P"</f>
        <v>ACIDL.P</v>
      </c>
      <c r="C198" s="1416" t="s">
        <v>28</v>
      </c>
      <c r="D198" s="1407" t="s">
        <v>29</v>
      </c>
      <c r="E198" s="1408">
        <f>IF(E199=0,0,E197*1000/E199)</f>
        <v>0</v>
      </c>
      <c r="F198" s="1408">
        <f>IF(F199=0,0,F197*1000/F199)</f>
        <v>0</v>
      </c>
      <c r="G198" s="1408">
        <f>IF(G199=0,0,G197*1000/G199)</f>
        <v>0</v>
      </c>
      <c r="H198" s="1396"/>
      <c r="I198" s="1413"/>
      <c r="J198" s="1414"/>
      <c r="K198" s="1414"/>
    </row>
    <row r="199" spans="2:11">
      <c r="B199" s="1415" t="str">
        <f>B197 &amp; ".V"</f>
        <v>ACIDL.V</v>
      </c>
      <c r="C199" s="1416" t="s">
        <v>603</v>
      </c>
      <c r="D199" s="1407" t="s">
        <v>31</v>
      </c>
      <c r="E199" s="1408">
        <f t="shared" ref="E199:G200" si="54">SUMIF($AS$9:$AW$9,E$9,$AS199:$AW199)</f>
        <v>0</v>
      </c>
      <c r="F199" s="1408">
        <f t="shared" si="54"/>
        <v>0</v>
      </c>
      <c r="G199" s="1408">
        <f t="shared" si="54"/>
        <v>0</v>
      </c>
      <c r="H199" s="1396"/>
      <c r="I199" s="1414"/>
      <c r="J199" s="1414"/>
      <c r="K199" s="1414"/>
    </row>
    <row r="200" spans="2:11">
      <c r="B200" s="1410" t="s">
        <v>1666</v>
      </c>
      <c r="C200" s="1412" t="s">
        <v>1667</v>
      </c>
      <c r="D200" s="1407" t="s">
        <v>22</v>
      </c>
      <c r="E200" s="1408">
        <f t="shared" si="54"/>
        <v>0</v>
      </c>
      <c r="F200" s="1408">
        <f t="shared" si="54"/>
        <v>0</v>
      </c>
      <c r="G200" s="1408">
        <f t="shared" si="54"/>
        <v>0</v>
      </c>
      <c r="H200" s="1396"/>
      <c r="I200" s="1413"/>
      <c r="J200" s="1414"/>
      <c r="K200" s="1414"/>
    </row>
    <row r="201" spans="2:11">
      <c r="B201" s="1415" t="str">
        <f>B200 &amp; ".P"</f>
        <v>AURIN.P</v>
      </c>
      <c r="C201" s="1416" t="s">
        <v>28</v>
      </c>
      <c r="D201" s="1407" t="s">
        <v>29</v>
      </c>
      <c r="E201" s="1408">
        <f>IF(E202=0,0,E200*1000/E202)</f>
        <v>0</v>
      </c>
      <c r="F201" s="1408">
        <f>IF(F202=0,0,F200*1000/F202)</f>
        <v>0</v>
      </c>
      <c r="G201" s="1408">
        <f>IF(G202=0,0,G200*1000/G202)</f>
        <v>0</v>
      </c>
      <c r="H201" s="1396"/>
      <c r="I201" s="1413"/>
      <c r="J201" s="1414"/>
      <c r="K201" s="1414"/>
    </row>
    <row r="202" spans="2:11">
      <c r="B202" s="1415" t="str">
        <f>B200 &amp; ".V"</f>
        <v>AURIN.V</v>
      </c>
      <c r="C202" s="1416" t="s">
        <v>603</v>
      </c>
      <c r="D202" s="1407" t="s">
        <v>31</v>
      </c>
      <c r="E202" s="1408">
        <f t="shared" ref="E202:G203" si="55">SUMIF($AS$9:$AW$9,E$9,$AS202:$AW202)</f>
        <v>0</v>
      </c>
      <c r="F202" s="1408">
        <f t="shared" si="55"/>
        <v>0</v>
      </c>
      <c r="G202" s="1408">
        <f t="shared" si="55"/>
        <v>0</v>
      </c>
      <c r="H202" s="1396"/>
      <c r="I202" s="1414"/>
      <c r="J202" s="1414"/>
      <c r="K202" s="1414"/>
    </row>
    <row r="203" spans="2:11">
      <c r="B203" s="1410" t="s">
        <v>1668</v>
      </c>
      <c r="C203" s="1412" t="s">
        <v>1669</v>
      </c>
      <c r="D203" s="1407" t="s">
        <v>22</v>
      </c>
      <c r="E203" s="1408">
        <f t="shared" si="55"/>
        <v>0</v>
      </c>
      <c r="F203" s="1408">
        <f t="shared" si="55"/>
        <v>0</v>
      </c>
      <c r="G203" s="1408">
        <f t="shared" si="55"/>
        <v>0</v>
      </c>
      <c r="H203" s="1396"/>
      <c r="I203" s="1413"/>
      <c r="J203" s="1414"/>
      <c r="K203" s="1414"/>
    </row>
    <row r="204" spans="2:11">
      <c r="B204" s="1415" t="str">
        <f>B203 &amp; ".P"</f>
        <v>ACIDS.P</v>
      </c>
      <c r="C204" s="1416" t="s">
        <v>28</v>
      </c>
      <c r="D204" s="1407" t="s">
        <v>29</v>
      </c>
      <c r="E204" s="1408">
        <f>IF(E205=0,0,E203*1000/E205)</f>
        <v>0</v>
      </c>
      <c r="F204" s="1408">
        <f>IF(F205=0,0,F203*1000/F205)</f>
        <v>0</v>
      </c>
      <c r="G204" s="1408">
        <f>IF(G205=0,0,G203*1000/G205)</f>
        <v>0</v>
      </c>
      <c r="H204" s="1396"/>
      <c r="I204" s="1413"/>
      <c r="J204" s="1414"/>
      <c r="K204" s="1414"/>
    </row>
    <row r="205" spans="2:11">
      <c r="B205" s="1415" t="str">
        <f>B203 &amp; ".V"</f>
        <v>ACIDS.V</v>
      </c>
      <c r="C205" s="1416" t="s">
        <v>603</v>
      </c>
      <c r="D205" s="1407" t="s">
        <v>31</v>
      </c>
      <c r="E205" s="1408">
        <f t="shared" ref="E205:G206" si="56">SUMIF($AS$9:$AW$9,E$9,$AS205:$AW205)</f>
        <v>0</v>
      </c>
      <c r="F205" s="1408">
        <f t="shared" si="56"/>
        <v>0</v>
      </c>
      <c r="G205" s="1408">
        <f t="shared" si="56"/>
        <v>0</v>
      </c>
      <c r="H205" s="1396"/>
      <c r="I205" s="1414"/>
      <c r="J205" s="1414"/>
      <c r="K205" s="1414"/>
    </row>
    <row r="206" spans="2:11">
      <c r="B206" s="1410" t="s">
        <v>1670</v>
      </c>
      <c r="C206" s="1412" t="s">
        <v>1671</v>
      </c>
      <c r="D206" s="1407" t="s">
        <v>22</v>
      </c>
      <c r="E206" s="1408">
        <f t="shared" si="56"/>
        <v>0</v>
      </c>
      <c r="F206" s="1408">
        <f t="shared" si="56"/>
        <v>0</v>
      </c>
      <c r="G206" s="1408">
        <f t="shared" si="56"/>
        <v>0</v>
      </c>
      <c r="H206" s="1396"/>
      <c r="I206" s="1413"/>
      <c r="J206" s="1414"/>
      <c r="K206" s="1414"/>
    </row>
    <row r="207" spans="2:11">
      <c r="B207" s="1415" t="str">
        <f>B206 &amp; ".P"</f>
        <v>ADIDCL.P</v>
      </c>
      <c r="C207" s="1416" t="s">
        <v>28</v>
      </c>
      <c r="D207" s="1407" t="s">
        <v>29</v>
      </c>
      <c r="E207" s="1408">
        <f>IF(E208=0,0,E206*1000/E208)</f>
        <v>0</v>
      </c>
      <c r="F207" s="1408">
        <f>IF(F208=0,0,F206*1000/F208)</f>
        <v>0</v>
      </c>
      <c r="G207" s="1408">
        <f>IF(G208=0,0,G206*1000/G208)</f>
        <v>0</v>
      </c>
      <c r="H207" s="1396"/>
      <c r="I207" s="1413"/>
      <c r="J207" s="1414"/>
      <c r="K207" s="1414"/>
    </row>
    <row r="208" spans="2:11">
      <c r="B208" s="1415" t="str">
        <f>B206 &amp; ".V"</f>
        <v>ADIDCL.V</v>
      </c>
      <c r="C208" s="1416" t="s">
        <v>603</v>
      </c>
      <c r="D208" s="1407" t="s">
        <v>31</v>
      </c>
      <c r="E208" s="1408">
        <f t="shared" ref="E208:G209" si="57">SUMIF($AS$9:$AW$9,E$9,$AS208:$AW208)</f>
        <v>0</v>
      </c>
      <c r="F208" s="1408">
        <f t="shared" si="57"/>
        <v>0</v>
      </c>
      <c r="G208" s="1408">
        <f t="shared" si="57"/>
        <v>0</v>
      </c>
      <c r="H208" s="1396"/>
      <c r="I208" s="1414"/>
      <c r="J208" s="1414"/>
      <c r="K208" s="1414"/>
    </row>
    <row r="209" spans="2:11">
      <c r="B209" s="1410" t="s">
        <v>1672</v>
      </c>
      <c r="C209" s="1412" t="s">
        <v>1673</v>
      </c>
      <c r="D209" s="1407" t="s">
        <v>22</v>
      </c>
      <c r="E209" s="1408">
        <f t="shared" si="57"/>
        <v>0</v>
      </c>
      <c r="F209" s="1408">
        <f t="shared" si="57"/>
        <v>0</v>
      </c>
      <c r="G209" s="1408">
        <f t="shared" si="57"/>
        <v>0</v>
      </c>
      <c r="H209" s="1396"/>
      <c r="I209" s="1413"/>
      <c r="J209" s="1414"/>
      <c r="K209" s="1414"/>
    </row>
    <row r="210" spans="2:11">
      <c r="B210" s="1415" t="str">
        <f>B209 &amp; ".P"</f>
        <v>ACIDAC.P</v>
      </c>
      <c r="C210" s="1416" t="s">
        <v>28</v>
      </c>
      <c r="D210" s="1407" t="s">
        <v>29</v>
      </c>
      <c r="E210" s="1408">
        <f>IF(E211=0,0,E209*1000/E211)</f>
        <v>0</v>
      </c>
      <c r="F210" s="1408">
        <f>IF(F211=0,0,F209*1000/F211)</f>
        <v>0</v>
      </c>
      <c r="G210" s="1408">
        <f>IF(G211=0,0,G209*1000/G211)</f>
        <v>0</v>
      </c>
      <c r="H210" s="1396"/>
      <c r="I210" s="1413"/>
      <c r="J210" s="1414"/>
      <c r="K210" s="1414"/>
    </row>
    <row r="211" spans="2:11">
      <c r="B211" s="1415" t="str">
        <f>B209 &amp; ".V"</f>
        <v>ACIDAC.V</v>
      </c>
      <c r="C211" s="1416" t="s">
        <v>603</v>
      </c>
      <c r="D211" s="1407" t="s">
        <v>31</v>
      </c>
      <c r="E211" s="1408">
        <f t="shared" ref="E211:G212" si="58">SUMIF($AS$9:$AW$9,E$9,$AS211:$AW211)</f>
        <v>0</v>
      </c>
      <c r="F211" s="1408">
        <f t="shared" si="58"/>
        <v>0</v>
      </c>
      <c r="G211" s="1408">
        <f t="shared" si="58"/>
        <v>0</v>
      </c>
      <c r="H211" s="1396"/>
      <c r="I211" s="1414"/>
      <c r="J211" s="1414"/>
      <c r="K211" s="1414"/>
    </row>
    <row r="212" spans="2:11">
      <c r="B212" s="1410" t="s">
        <v>1674</v>
      </c>
      <c r="C212" s="1412" t="s">
        <v>1675</v>
      </c>
      <c r="D212" s="1407" t="s">
        <v>22</v>
      </c>
      <c r="E212" s="1408">
        <f t="shared" si="58"/>
        <v>0</v>
      </c>
      <c r="F212" s="1408">
        <f t="shared" si="58"/>
        <v>0</v>
      </c>
      <c r="G212" s="1408">
        <f t="shared" si="58"/>
        <v>0</v>
      </c>
      <c r="H212" s="1396"/>
      <c r="I212" s="1413"/>
      <c r="J212" s="1414"/>
      <c r="K212" s="1414"/>
    </row>
    <row r="213" spans="2:11">
      <c r="B213" s="1415" t="str">
        <f>B212 &amp; ".P"</f>
        <v>ACIDOX.P</v>
      </c>
      <c r="C213" s="1416" t="s">
        <v>28</v>
      </c>
      <c r="D213" s="1407" t="s">
        <v>29</v>
      </c>
      <c r="E213" s="1408">
        <f>IF(E214=0,0,E212*1000/E214)</f>
        <v>0</v>
      </c>
      <c r="F213" s="1408">
        <f>IF(F214=0,0,F212*1000/F214)</f>
        <v>0</v>
      </c>
      <c r="G213" s="1408">
        <f>IF(G214=0,0,G212*1000/G214)</f>
        <v>0</v>
      </c>
      <c r="H213" s="1396"/>
      <c r="I213" s="1413"/>
      <c r="J213" s="1414"/>
      <c r="K213" s="1414"/>
    </row>
    <row r="214" spans="2:11">
      <c r="B214" s="1415" t="str">
        <f>B212 &amp; ".V"</f>
        <v>ACIDOX.V</v>
      </c>
      <c r="C214" s="1416" t="s">
        <v>603</v>
      </c>
      <c r="D214" s="1407" t="s">
        <v>31</v>
      </c>
      <c r="E214" s="1408">
        <f t="shared" ref="E214:G215" si="59">SUMIF($AS$9:$AW$9,E$9,$AS214:$AW214)</f>
        <v>0</v>
      </c>
      <c r="F214" s="1408">
        <f t="shared" si="59"/>
        <v>0</v>
      </c>
      <c r="G214" s="1408">
        <f t="shared" si="59"/>
        <v>0</v>
      </c>
      <c r="H214" s="1396"/>
      <c r="I214" s="1414"/>
      <c r="J214" s="1414"/>
      <c r="K214" s="1414"/>
    </row>
    <row r="215" spans="2:11">
      <c r="B215" s="1410" t="s">
        <v>1676</v>
      </c>
      <c r="C215" s="1412" t="s">
        <v>1677</v>
      </c>
      <c r="D215" s="1407" t="s">
        <v>22</v>
      </c>
      <c r="E215" s="1408">
        <f t="shared" si="59"/>
        <v>0</v>
      </c>
      <c r="F215" s="1408">
        <f t="shared" si="59"/>
        <v>0</v>
      </c>
      <c r="G215" s="1408">
        <f t="shared" si="59"/>
        <v>0</v>
      </c>
      <c r="H215" s="1396"/>
      <c r="I215" s="1413"/>
      <c r="J215" s="1414"/>
      <c r="K215" s="1414"/>
    </row>
    <row r="216" spans="2:11">
      <c r="B216" s="1415" t="str">
        <f>B215 &amp; ".P"</f>
        <v>STARCH.P</v>
      </c>
      <c r="C216" s="1416" t="s">
        <v>28</v>
      </c>
      <c r="D216" s="1407" t="s">
        <v>29</v>
      </c>
      <c r="E216" s="1408">
        <f>IF(E217=0,0,E215*1000/E217)</f>
        <v>0</v>
      </c>
      <c r="F216" s="1408">
        <f>IF(F217=0,0,F215*1000/F217)</f>
        <v>0</v>
      </c>
      <c r="G216" s="1408">
        <f>IF(G217=0,0,G215*1000/G217)</f>
        <v>0</v>
      </c>
      <c r="H216" s="1396"/>
      <c r="I216" s="1413"/>
      <c r="J216" s="1414"/>
      <c r="K216" s="1414"/>
    </row>
    <row r="217" spans="2:11">
      <c r="B217" s="1415" t="str">
        <f>B215 &amp; ".V"</f>
        <v>STARCH.V</v>
      </c>
      <c r="C217" s="1416" t="s">
        <v>603</v>
      </c>
      <c r="D217" s="1407" t="s">
        <v>31</v>
      </c>
      <c r="E217" s="1408">
        <f t="shared" ref="E217:G218" si="60">SUMIF($AS$9:$AW$9,E$9,$AS217:$AW217)</f>
        <v>0</v>
      </c>
      <c r="F217" s="1408">
        <f t="shared" si="60"/>
        <v>0</v>
      </c>
      <c r="G217" s="1408">
        <f t="shared" si="60"/>
        <v>0</v>
      </c>
      <c r="H217" s="1396"/>
      <c r="I217" s="1414"/>
      <c r="J217" s="1414"/>
      <c r="K217" s="1414"/>
    </row>
    <row r="218" spans="2:11">
      <c r="B218" s="1410" t="s">
        <v>1678</v>
      </c>
      <c r="C218" s="1412" t="s">
        <v>1679</v>
      </c>
      <c r="D218" s="1407" t="s">
        <v>22</v>
      </c>
      <c r="E218" s="1408">
        <f t="shared" si="60"/>
        <v>0</v>
      </c>
      <c r="F218" s="1408">
        <f t="shared" si="60"/>
        <v>0</v>
      </c>
      <c r="G218" s="1408">
        <f t="shared" si="60"/>
        <v>0</v>
      </c>
      <c r="H218" s="1396"/>
      <c r="I218" s="1413"/>
      <c r="J218" s="1414"/>
      <c r="K218" s="1414"/>
    </row>
    <row r="219" spans="2:11">
      <c r="B219" s="1415" t="str">
        <f>B218 &amp; ".P"</f>
        <v>LANTN.P</v>
      </c>
      <c r="C219" s="1416" t="s">
        <v>28</v>
      </c>
      <c r="D219" s="1407" t="s">
        <v>29</v>
      </c>
      <c r="E219" s="1408">
        <f>IF(E220=0,0,E218*1000/E220)</f>
        <v>0</v>
      </c>
      <c r="F219" s="1408">
        <f>IF(F220=0,0,F218*1000/F220)</f>
        <v>0</v>
      </c>
      <c r="G219" s="1408">
        <f>IF(G220=0,0,G218*1000/G220)</f>
        <v>0</v>
      </c>
      <c r="H219" s="1396"/>
      <c r="I219" s="1413"/>
      <c r="J219" s="1414"/>
      <c r="K219" s="1414"/>
    </row>
    <row r="220" spans="2:11">
      <c r="B220" s="1415" t="str">
        <f>B218 &amp; ".V"</f>
        <v>LANTN.V</v>
      </c>
      <c r="C220" s="1416" t="s">
        <v>603</v>
      </c>
      <c r="D220" s="1407" t="s">
        <v>31</v>
      </c>
      <c r="E220" s="1408">
        <f t="shared" ref="E220:G221" si="61">SUMIF($AS$9:$AW$9,E$9,$AS220:$AW220)</f>
        <v>0</v>
      </c>
      <c r="F220" s="1408">
        <f t="shared" si="61"/>
        <v>0</v>
      </c>
      <c r="G220" s="1408">
        <f t="shared" si="61"/>
        <v>0</v>
      </c>
      <c r="H220" s="1396"/>
      <c r="I220" s="1414"/>
      <c r="J220" s="1414"/>
      <c r="K220" s="1414"/>
    </row>
    <row r="221" spans="2:11">
      <c r="B221" s="1410" t="s">
        <v>1680</v>
      </c>
      <c r="C221" s="1412" t="s">
        <v>1681</v>
      </c>
      <c r="D221" s="1407" t="s">
        <v>22</v>
      </c>
      <c r="E221" s="1408">
        <f t="shared" si="61"/>
        <v>0</v>
      </c>
      <c r="F221" s="1408">
        <f t="shared" si="61"/>
        <v>0</v>
      </c>
      <c r="G221" s="1408">
        <f t="shared" si="61"/>
        <v>0</v>
      </c>
      <c r="H221" s="1396"/>
      <c r="I221" s="1413"/>
      <c r="J221" s="1414"/>
      <c r="K221" s="1414"/>
    </row>
    <row r="222" spans="2:11">
      <c r="B222" s="1415" t="str">
        <f>B221 &amp; ".P"</f>
        <v>MGS.P</v>
      </c>
      <c r="C222" s="1416" t="s">
        <v>28</v>
      </c>
      <c r="D222" s="1407" t="s">
        <v>29</v>
      </c>
      <c r="E222" s="1408">
        <f>IF(E223=0,0,E221*1000/E223)</f>
        <v>0</v>
      </c>
      <c r="F222" s="1408">
        <f>IF(F223=0,0,F221*1000/F223)</f>
        <v>0</v>
      </c>
      <c r="G222" s="1408">
        <f>IF(G223=0,0,G221*1000/G223)</f>
        <v>0</v>
      </c>
      <c r="H222" s="1396"/>
      <c r="I222" s="1413"/>
      <c r="J222" s="1414"/>
      <c r="K222" s="1414"/>
    </row>
    <row r="223" spans="2:11">
      <c r="B223" s="1415" t="str">
        <f>B221 &amp; ".V"</f>
        <v>MGS.V</v>
      </c>
      <c r="C223" s="1416" t="s">
        <v>603</v>
      </c>
      <c r="D223" s="1407" t="s">
        <v>31</v>
      </c>
      <c r="E223" s="1408">
        <f t="shared" ref="E223:G227" si="62">SUMIF($AS$9:$AW$9,E$9,$AS223:$AW223)</f>
        <v>0</v>
      </c>
      <c r="F223" s="1408">
        <f t="shared" si="62"/>
        <v>0</v>
      </c>
      <c r="G223" s="1408">
        <f t="shared" si="62"/>
        <v>0</v>
      </c>
      <c r="H223" s="1396"/>
      <c r="I223" s="1414"/>
      <c r="J223" s="1414"/>
      <c r="K223" s="1414"/>
    </row>
    <row r="224" spans="2:11" ht="21">
      <c r="B224" s="1418" t="s">
        <v>1682</v>
      </c>
      <c r="C224" s="1412" t="s">
        <v>1683</v>
      </c>
      <c r="D224" s="1407" t="s">
        <v>22</v>
      </c>
      <c r="E224" s="1408">
        <f t="shared" si="62"/>
        <v>0</v>
      </c>
      <c r="F224" s="1408">
        <f t="shared" si="62"/>
        <v>0</v>
      </c>
      <c r="G224" s="1408">
        <f t="shared" si="62"/>
        <v>0</v>
      </c>
      <c r="H224" s="1396"/>
      <c r="I224" s="1413"/>
      <c r="J224" s="1414"/>
      <c r="K224" s="1414"/>
    </row>
    <row r="225" spans="2:11">
      <c r="B225" s="1418" t="str">
        <f>B224 &amp; ".P"</f>
        <v>FLOSPERSE.P</v>
      </c>
      <c r="C225" s="1416" t="s">
        <v>28</v>
      </c>
      <c r="D225" s="1407" t="s">
        <v>29</v>
      </c>
      <c r="E225" s="1408">
        <f>IF(E226=0,0,E224*1000/E226)</f>
        <v>0</v>
      </c>
      <c r="F225" s="1408">
        <f>IF(F226=0,0,F224*1000/F226)</f>
        <v>0</v>
      </c>
      <c r="G225" s="1408">
        <f>IF(G226=0,0,G224*1000/G226)</f>
        <v>0</v>
      </c>
      <c r="H225" s="1396"/>
      <c r="I225" s="1413"/>
      <c r="J225" s="1414"/>
      <c r="K225" s="1414"/>
    </row>
    <row r="226" spans="2:11">
      <c r="B226" s="1418" t="str">
        <f>B224 &amp; ".V"</f>
        <v>FLOSPERSE.V</v>
      </c>
      <c r="C226" s="1416" t="s">
        <v>603</v>
      </c>
      <c r="D226" s="1407" t="s">
        <v>31</v>
      </c>
      <c r="E226" s="1408">
        <f>SUMIF($AS$9:$AW$9,E$9,$AS226:$AW226)</f>
        <v>0</v>
      </c>
      <c r="F226" s="1408">
        <f>SUMIF($AS$9:$AW$9,F$9,$AS226:$AW226)</f>
        <v>0</v>
      </c>
      <c r="G226" s="1408">
        <f>SUMIF($AS$9:$AW$9,G$9,$AS226:$AW226)</f>
        <v>0</v>
      </c>
      <c r="H226" s="1396"/>
      <c r="I226" s="1414"/>
      <c r="J226" s="1414"/>
      <c r="K226" s="1414"/>
    </row>
    <row r="227" spans="2:11">
      <c r="B227" s="1410" t="s">
        <v>1684</v>
      </c>
      <c r="C227" s="1412" t="s">
        <v>1685</v>
      </c>
      <c r="D227" s="1407" t="s">
        <v>22</v>
      </c>
      <c r="E227" s="1408">
        <f t="shared" si="62"/>
        <v>0</v>
      </c>
      <c r="F227" s="1408">
        <f t="shared" si="62"/>
        <v>0</v>
      </c>
      <c r="G227" s="1408">
        <f t="shared" si="62"/>
        <v>0</v>
      </c>
      <c r="H227" s="1396"/>
      <c r="I227" s="1413"/>
      <c r="J227" s="1414"/>
      <c r="K227" s="1414"/>
    </row>
    <row r="228" spans="2:11">
      <c r="B228" s="1415" t="str">
        <f>B227 &amp; ".P"</f>
        <v>NATR.P</v>
      </c>
      <c r="C228" s="1416" t="s">
        <v>28</v>
      </c>
      <c r="D228" s="1407" t="s">
        <v>29</v>
      </c>
      <c r="E228" s="1408">
        <f>IF(E229=0,0,E227*1000/E229)</f>
        <v>0</v>
      </c>
      <c r="F228" s="1408">
        <f>IF(F229=0,0,F227*1000/F229)</f>
        <v>0</v>
      </c>
      <c r="G228" s="1408">
        <f>IF(G229=0,0,G227*1000/G229)</f>
        <v>0</v>
      </c>
      <c r="H228" s="1396"/>
      <c r="I228" s="1413"/>
      <c r="J228" s="1414"/>
      <c r="K228" s="1414"/>
    </row>
    <row r="229" spans="2:11">
      <c r="B229" s="1415" t="str">
        <f>B227 &amp; ".V"</f>
        <v>NATR.V</v>
      </c>
      <c r="C229" s="1416" t="s">
        <v>603</v>
      </c>
      <c r="D229" s="1407" t="s">
        <v>31</v>
      </c>
      <c r="E229" s="1408">
        <f t="shared" ref="E229:G230" si="63">SUMIF($AS$9:$AW$9,E$9,$AS229:$AW229)</f>
        <v>0</v>
      </c>
      <c r="F229" s="1408">
        <f t="shared" si="63"/>
        <v>0</v>
      </c>
      <c r="G229" s="1408">
        <f t="shared" si="63"/>
        <v>0</v>
      </c>
      <c r="H229" s="1396"/>
      <c r="I229" s="1414"/>
      <c r="J229" s="1414"/>
      <c r="K229" s="1414"/>
    </row>
    <row r="230" spans="2:11">
      <c r="B230" s="1410" t="s">
        <v>1686</v>
      </c>
      <c r="C230" s="1412" t="s">
        <v>1687</v>
      </c>
      <c r="D230" s="1407" t="s">
        <v>22</v>
      </c>
      <c r="E230" s="1408">
        <f t="shared" si="63"/>
        <v>0</v>
      </c>
      <c r="F230" s="1408">
        <f t="shared" si="63"/>
        <v>0</v>
      </c>
      <c r="G230" s="1408">
        <f t="shared" si="63"/>
        <v>0</v>
      </c>
      <c r="H230" s="1396"/>
      <c r="I230" s="1413"/>
      <c r="J230" s="1414"/>
      <c r="K230" s="1414"/>
    </row>
    <row r="231" spans="2:11">
      <c r="B231" s="1415" t="str">
        <f>B230 &amp; ".P"</f>
        <v>NAHDOX.P</v>
      </c>
      <c r="C231" s="1416" t="s">
        <v>28</v>
      </c>
      <c r="D231" s="1407" t="s">
        <v>29</v>
      </c>
      <c r="E231" s="1408">
        <f>IF(E232=0,0,E230*1000/E232)</f>
        <v>0</v>
      </c>
      <c r="F231" s="1408">
        <f>IF(F232=0,0,F230*1000/F232)</f>
        <v>0</v>
      </c>
      <c r="G231" s="1408">
        <f>IF(G232=0,0,G230*1000/G232)</f>
        <v>0</v>
      </c>
      <c r="H231" s="1396"/>
      <c r="I231" s="1413"/>
      <c r="J231" s="1414"/>
      <c r="K231" s="1414"/>
    </row>
    <row r="232" spans="2:11">
      <c r="B232" s="1415" t="str">
        <f>B230 &amp; ".V"</f>
        <v>NAHDOX.V</v>
      </c>
      <c r="C232" s="1416" t="s">
        <v>603</v>
      </c>
      <c r="D232" s="1407" t="s">
        <v>31</v>
      </c>
      <c r="E232" s="1408">
        <f t="shared" ref="E232:G233" si="64">SUMIF($AS$9:$AW$9,E$9,$AS232:$AW232)</f>
        <v>0</v>
      </c>
      <c r="F232" s="1408">
        <f t="shared" si="64"/>
        <v>0</v>
      </c>
      <c r="G232" s="1408">
        <f t="shared" si="64"/>
        <v>0</v>
      </c>
      <c r="H232" s="1396"/>
      <c r="I232" s="1414"/>
      <c r="J232" s="1414"/>
      <c r="K232" s="1414"/>
    </row>
    <row r="233" spans="2:11">
      <c r="B233" s="1410" t="s">
        <v>1688</v>
      </c>
      <c r="C233" s="1412" t="s">
        <v>1689</v>
      </c>
      <c r="D233" s="1407" t="s">
        <v>22</v>
      </c>
      <c r="E233" s="1408">
        <f t="shared" si="64"/>
        <v>0</v>
      </c>
      <c r="F233" s="1408">
        <f t="shared" si="64"/>
        <v>0</v>
      </c>
      <c r="G233" s="1408">
        <f t="shared" si="64"/>
        <v>0</v>
      </c>
      <c r="H233" s="1396"/>
      <c r="I233" s="1413"/>
      <c r="J233" s="1414"/>
      <c r="K233" s="1414"/>
    </row>
    <row r="234" spans="2:11">
      <c r="B234" s="1415" t="str">
        <f>B233 &amp; ".P"</f>
        <v>NASLC.P</v>
      </c>
      <c r="C234" s="1416" t="s">
        <v>28</v>
      </c>
      <c r="D234" s="1407" t="s">
        <v>29</v>
      </c>
      <c r="E234" s="1408">
        <f>IF(E235=0,0,E233*1000/E235)</f>
        <v>0</v>
      </c>
      <c r="F234" s="1408">
        <f>IF(F235=0,0,F233*1000/F235)</f>
        <v>0</v>
      </c>
      <c r="G234" s="1408">
        <f>IF(G235=0,0,G233*1000/G235)</f>
        <v>0</v>
      </c>
      <c r="H234" s="1396"/>
      <c r="I234" s="1413"/>
      <c r="J234" s="1414"/>
      <c r="K234" s="1414"/>
    </row>
    <row r="235" spans="2:11">
      <c r="B235" s="1415" t="str">
        <f>B233 &amp; ".V"</f>
        <v>NASLC.V</v>
      </c>
      <c r="C235" s="1416" t="s">
        <v>603</v>
      </c>
      <c r="D235" s="1407" t="s">
        <v>31</v>
      </c>
      <c r="E235" s="1408">
        <f t="shared" ref="E235:G236" si="65">SUMIF($AS$9:$AW$9,E$9,$AS235:$AW235)</f>
        <v>0</v>
      </c>
      <c r="F235" s="1408">
        <f t="shared" si="65"/>
        <v>0</v>
      </c>
      <c r="G235" s="1408">
        <f t="shared" si="65"/>
        <v>0</v>
      </c>
      <c r="H235" s="1396"/>
      <c r="I235" s="1414"/>
      <c r="J235" s="1414"/>
      <c r="K235" s="1414"/>
    </row>
    <row r="236" spans="2:11">
      <c r="B236" s="1410" t="s">
        <v>1690</v>
      </c>
      <c r="C236" s="1412" t="s">
        <v>1691</v>
      </c>
      <c r="D236" s="1407" t="s">
        <v>22</v>
      </c>
      <c r="E236" s="1408">
        <f t="shared" si="65"/>
        <v>0</v>
      </c>
      <c r="F236" s="1408">
        <f t="shared" si="65"/>
        <v>0</v>
      </c>
      <c r="G236" s="1408">
        <f t="shared" si="65"/>
        <v>0</v>
      </c>
      <c r="H236" s="1396"/>
      <c r="I236" s="1413"/>
      <c r="J236" s="1414"/>
      <c r="K236" s="1414"/>
    </row>
    <row r="237" spans="2:11">
      <c r="B237" s="1415" t="str">
        <f>B236 &amp; ".P"</f>
        <v>NAS.P</v>
      </c>
      <c r="C237" s="1416" t="s">
        <v>28</v>
      </c>
      <c r="D237" s="1407" t="s">
        <v>29</v>
      </c>
      <c r="E237" s="1408">
        <f>IF(E238=0,0,E236*1000/E238)</f>
        <v>0</v>
      </c>
      <c r="F237" s="1408">
        <f>IF(F238=0,0,F236*1000/F238)</f>
        <v>0</v>
      </c>
      <c r="G237" s="1408">
        <f>IF(G238=0,0,G236*1000/G238)</f>
        <v>0</v>
      </c>
      <c r="H237" s="1396"/>
      <c r="I237" s="1413"/>
      <c r="J237" s="1414"/>
      <c r="K237" s="1414"/>
    </row>
    <row r="238" spans="2:11">
      <c r="B238" s="1415" t="str">
        <f>B236 &amp; ".V"</f>
        <v>NAS.V</v>
      </c>
      <c r="C238" s="1416" t="s">
        <v>603</v>
      </c>
      <c r="D238" s="1407" t="s">
        <v>31</v>
      </c>
      <c r="E238" s="1408">
        <f t="shared" ref="E238:G239" si="66">SUMIF($AS$9:$AW$9,E$9,$AS238:$AW238)</f>
        <v>0</v>
      </c>
      <c r="F238" s="1408">
        <f t="shared" si="66"/>
        <v>0</v>
      </c>
      <c r="G238" s="1408">
        <f t="shared" si="66"/>
        <v>0</v>
      </c>
      <c r="H238" s="1396"/>
      <c r="I238" s="1414"/>
      <c r="J238" s="1414"/>
      <c r="K238" s="1414"/>
    </row>
    <row r="239" spans="2:11">
      <c r="B239" s="1410" t="s">
        <v>1692</v>
      </c>
      <c r="C239" s="1412" t="s">
        <v>1693</v>
      </c>
      <c r="D239" s="1407" t="s">
        <v>22</v>
      </c>
      <c r="E239" s="1408">
        <f t="shared" si="66"/>
        <v>0</v>
      </c>
      <c r="F239" s="1408">
        <f t="shared" si="66"/>
        <v>0</v>
      </c>
      <c r="G239" s="1408">
        <f t="shared" si="66"/>
        <v>0</v>
      </c>
      <c r="H239" s="1396"/>
      <c r="I239" s="1413"/>
      <c r="J239" s="1414"/>
      <c r="K239" s="1414"/>
    </row>
    <row r="240" spans="2:11">
      <c r="B240" s="1415" t="str">
        <f>B239 &amp; ".P"</f>
        <v>NAC.P</v>
      </c>
      <c r="C240" s="1416" t="s">
        <v>28</v>
      </c>
      <c r="D240" s="1407" t="s">
        <v>29</v>
      </c>
      <c r="E240" s="1408">
        <f>IF(E241=0,0,E239*1000/E241)</f>
        <v>0</v>
      </c>
      <c r="F240" s="1408">
        <f>IF(F241=0,0,F239*1000/F241)</f>
        <v>0</v>
      </c>
      <c r="G240" s="1408">
        <f>IF(G241=0,0,G239*1000/G241)</f>
        <v>0</v>
      </c>
      <c r="H240" s="1396"/>
      <c r="I240" s="1413"/>
      <c r="J240" s="1414"/>
      <c r="K240" s="1414"/>
    </row>
    <row r="241" spans="2:11">
      <c r="B241" s="1415" t="str">
        <f>B239 &amp; ".V"</f>
        <v>NAC.V</v>
      </c>
      <c r="C241" s="1416" t="s">
        <v>603</v>
      </c>
      <c r="D241" s="1407" t="s">
        <v>31</v>
      </c>
      <c r="E241" s="1408">
        <f t="shared" ref="E241:G242" si="67">SUMIF($AS$9:$AW$9,E$9,$AS241:$AW241)</f>
        <v>0</v>
      </c>
      <c r="F241" s="1408">
        <f t="shared" si="67"/>
        <v>0</v>
      </c>
      <c r="G241" s="1408">
        <f t="shared" si="67"/>
        <v>0</v>
      </c>
      <c r="H241" s="1396"/>
      <c r="I241" s="1414"/>
      <c r="J241" s="1414"/>
      <c r="K241" s="1414"/>
    </row>
    <row r="242" spans="2:11">
      <c r="B242" s="1410" t="s">
        <v>1694</v>
      </c>
      <c r="C242" s="1412" t="s">
        <v>1695</v>
      </c>
      <c r="D242" s="1407" t="s">
        <v>22</v>
      </c>
      <c r="E242" s="1408">
        <f t="shared" si="67"/>
        <v>0</v>
      </c>
      <c r="F242" s="1408">
        <f t="shared" si="67"/>
        <v>0</v>
      </c>
      <c r="G242" s="1408">
        <f t="shared" si="67"/>
        <v>0</v>
      </c>
      <c r="H242" s="1396"/>
      <c r="I242" s="1413"/>
      <c r="J242" s="1414"/>
      <c r="K242" s="1414"/>
    </row>
    <row r="243" spans="2:11">
      <c r="B243" s="1415" t="str">
        <f>B242 &amp; ".P"</f>
        <v>NAAC.P</v>
      </c>
      <c r="C243" s="1416" t="s">
        <v>28</v>
      </c>
      <c r="D243" s="1407" t="s">
        <v>29</v>
      </c>
      <c r="E243" s="1408">
        <f>IF(E244=0,0,E242*1000/E244)</f>
        <v>0</v>
      </c>
      <c r="F243" s="1408">
        <f>IF(F244=0,0,F242*1000/F244)</f>
        <v>0</v>
      </c>
      <c r="G243" s="1408">
        <f>IF(G244=0,0,G242*1000/G244)</f>
        <v>0</v>
      </c>
      <c r="H243" s="1396"/>
      <c r="I243" s="1413"/>
      <c r="J243" s="1414"/>
      <c r="K243" s="1414"/>
    </row>
    <row r="244" spans="2:11">
      <c r="B244" s="1415" t="str">
        <f>B242 &amp; ".V"</f>
        <v>NAAC.V</v>
      </c>
      <c r="C244" s="1416" t="s">
        <v>603</v>
      </c>
      <c r="D244" s="1407" t="s">
        <v>31</v>
      </c>
      <c r="E244" s="1408">
        <f t="shared" ref="E244:G245" si="68">SUMIF($AS$9:$AW$9,E$9,$AS244:$AW244)</f>
        <v>0</v>
      </c>
      <c r="F244" s="1408">
        <f t="shared" si="68"/>
        <v>0</v>
      </c>
      <c r="G244" s="1408">
        <f t="shared" si="68"/>
        <v>0</v>
      </c>
      <c r="H244" s="1396"/>
      <c r="I244" s="1414"/>
      <c r="J244" s="1414"/>
      <c r="K244" s="1414"/>
    </row>
    <row r="245" spans="2:11">
      <c r="B245" s="1410" t="s">
        <v>1696</v>
      </c>
      <c r="C245" s="1412" t="s">
        <v>1697</v>
      </c>
      <c r="D245" s="1407" t="s">
        <v>22</v>
      </c>
      <c r="E245" s="1408">
        <f t="shared" si="68"/>
        <v>0</v>
      </c>
      <c r="F245" s="1408">
        <f t="shared" si="68"/>
        <v>0</v>
      </c>
      <c r="G245" s="1408">
        <f t="shared" si="68"/>
        <v>0</v>
      </c>
      <c r="H245" s="1396"/>
      <c r="I245" s="1413"/>
      <c r="J245" s="1414"/>
      <c r="K245" s="1414"/>
    </row>
    <row r="246" spans="2:11">
      <c r="B246" s="1415" t="str">
        <f>B245 &amp; ".P"</f>
        <v>NACL.P</v>
      </c>
      <c r="C246" s="1416" t="s">
        <v>28</v>
      </c>
      <c r="D246" s="1407" t="s">
        <v>29</v>
      </c>
      <c r="E246" s="1408">
        <f>IF(E247=0,0,E245*1000/E247)</f>
        <v>0</v>
      </c>
      <c r="F246" s="1408">
        <f>IF(F247=0,0,F245*1000/F247)</f>
        <v>0</v>
      </c>
      <c r="G246" s="1408">
        <f>IF(G247=0,0,G245*1000/G247)</f>
        <v>0</v>
      </c>
      <c r="H246" s="1396"/>
      <c r="I246" s="1413"/>
      <c r="J246" s="1414"/>
      <c r="K246" s="1414"/>
    </row>
    <row r="247" spans="2:11">
      <c r="B247" s="1415" t="str">
        <f>B245 &amp; ".V"</f>
        <v>NACL.V</v>
      </c>
      <c r="C247" s="1416" t="s">
        <v>603</v>
      </c>
      <c r="D247" s="1407" t="s">
        <v>31</v>
      </c>
      <c r="E247" s="1408">
        <f t="shared" ref="E247:G251" si="69">SUMIF($AS$9:$AW$9,E$9,$AS247:$AW247)</f>
        <v>0</v>
      </c>
      <c r="F247" s="1408">
        <f t="shared" si="69"/>
        <v>0</v>
      </c>
      <c r="G247" s="1408">
        <f t="shared" si="69"/>
        <v>0</v>
      </c>
      <c r="H247" s="1396"/>
      <c r="I247" s="1414"/>
      <c r="J247" s="1414"/>
      <c r="K247" s="1414"/>
    </row>
    <row r="248" spans="2:11">
      <c r="B248" s="1417" t="s">
        <v>1698</v>
      </c>
      <c r="C248" s="1412" t="s">
        <v>1699</v>
      </c>
      <c r="D248" s="1407" t="s">
        <v>22</v>
      </c>
      <c r="E248" s="1408">
        <f t="shared" si="69"/>
        <v>0</v>
      </c>
      <c r="F248" s="1408">
        <f t="shared" si="69"/>
        <v>0</v>
      </c>
      <c r="G248" s="1408">
        <f t="shared" si="69"/>
        <v>0</v>
      </c>
      <c r="H248" s="1396"/>
      <c r="I248" s="1413"/>
      <c r="J248" s="1414"/>
      <c r="K248" s="1414"/>
    </row>
    <row r="249" spans="2:11">
      <c r="B249" s="1418" t="str">
        <f>B248 &amp; ".P"</f>
        <v>FLOFOAM.P</v>
      </c>
      <c r="C249" s="1416" t="s">
        <v>28</v>
      </c>
      <c r="D249" s="1407" t="s">
        <v>29</v>
      </c>
      <c r="E249" s="1408">
        <f>IF(E250=0,0,E248*1000/E250)</f>
        <v>0</v>
      </c>
      <c r="F249" s="1408">
        <f>IF(F250=0,0,F248*1000/F250)</f>
        <v>0</v>
      </c>
      <c r="G249" s="1408">
        <f>IF(G250=0,0,G248*1000/G250)</f>
        <v>0</v>
      </c>
      <c r="H249" s="1396"/>
      <c r="I249" s="1413"/>
      <c r="J249" s="1414"/>
      <c r="K249" s="1414"/>
    </row>
    <row r="250" spans="2:11">
      <c r="B250" s="1418" t="str">
        <f>B248 &amp; ".V"</f>
        <v>FLOFOAM.V</v>
      </c>
      <c r="C250" s="1416" t="s">
        <v>603</v>
      </c>
      <c r="D250" s="1407" t="s">
        <v>31</v>
      </c>
      <c r="E250" s="1408">
        <f>SUMIF($AS$9:$AW$9,E$9,$AS250:$AW250)</f>
        <v>0</v>
      </c>
      <c r="F250" s="1408">
        <f>SUMIF($AS$9:$AW$9,F$9,$AS250:$AW250)</f>
        <v>0</v>
      </c>
      <c r="G250" s="1408">
        <f>SUMIF($AS$9:$AW$9,G$9,$AS250:$AW250)</f>
        <v>0</v>
      </c>
      <c r="H250" s="1396"/>
      <c r="I250" s="1414"/>
      <c r="J250" s="1414"/>
      <c r="K250" s="1414"/>
    </row>
    <row r="251" spans="2:11">
      <c r="B251" s="1410" t="s">
        <v>1700</v>
      </c>
      <c r="C251" s="1412" t="s">
        <v>1701</v>
      </c>
      <c r="D251" s="1407" t="s">
        <v>22</v>
      </c>
      <c r="E251" s="1408">
        <f t="shared" si="69"/>
        <v>0</v>
      </c>
      <c r="F251" s="1408">
        <f t="shared" si="69"/>
        <v>0</v>
      </c>
      <c r="G251" s="1408">
        <f t="shared" si="69"/>
        <v>0</v>
      </c>
      <c r="H251" s="1396"/>
      <c r="I251" s="1413"/>
      <c r="J251" s="1414"/>
      <c r="K251" s="1414"/>
    </row>
    <row r="252" spans="2:11">
      <c r="B252" s="1415" t="str">
        <f>B251 &amp; ".P"</f>
        <v>RGRS.P</v>
      </c>
      <c r="C252" s="1416" t="s">
        <v>28</v>
      </c>
      <c r="D252" s="1407" t="s">
        <v>29</v>
      </c>
      <c r="E252" s="1408">
        <f>IF(E253=0,0,E251*1000/E253)</f>
        <v>0</v>
      </c>
      <c r="F252" s="1408">
        <f>IF(F253=0,0,F251*1000/F253)</f>
        <v>0</v>
      </c>
      <c r="G252" s="1408">
        <f>IF(G253=0,0,G251*1000/G253)</f>
        <v>0</v>
      </c>
      <c r="H252" s="1396"/>
      <c r="I252" s="1413"/>
      <c r="J252" s="1414"/>
      <c r="K252" s="1414"/>
    </row>
    <row r="253" spans="2:11">
      <c r="B253" s="1415" t="str">
        <f>B251 &amp; ".V"</f>
        <v>RGRS.V</v>
      </c>
      <c r="C253" s="1416" t="s">
        <v>603</v>
      </c>
      <c r="D253" s="1407" t="s">
        <v>31</v>
      </c>
      <c r="E253" s="1408">
        <f t="shared" ref="E253:G254" si="70">SUMIF($AS$9:$AW$9,E$9,$AS253:$AW253)</f>
        <v>0</v>
      </c>
      <c r="F253" s="1408">
        <f t="shared" si="70"/>
        <v>0</v>
      </c>
      <c r="G253" s="1408">
        <f t="shared" si="70"/>
        <v>0</v>
      </c>
      <c r="H253" s="1396"/>
      <c r="I253" s="1414"/>
      <c r="J253" s="1414"/>
      <c r="K253" s="1414"/>
    </row>
    <row r="254" spans="2:11">
      <c r="B254" s="1410" t="s">
        <v>1702</v>
      </c>
      <c r="C254" s="1412" t="s">
        <v>1703</v>
      </c>
      <c r="D254" s="1407" t="s">
        <v>22</v>
      </c>
      <c r="E254" s="1408">
        <f t="shared" si="70"/>
        <v>0</v>
      </c>
      <c r="F254" s="1408">
        <f t="shared" si="70"/>
        <v>0</v>
      </c>
      <c r="G254" s="1408">
        <f t="shared" si="70"/>
        <v>0</v>
      </c>
      <c r="H254" s="1396"/>
      <c r="I254" s="1413"/>
      <c r="J254" s="1414"/>
      <c r="K254" s="1414"/>
    </row>
    <row r="255" spans="2:11">
      <c r="B255" s="1415" t="str">
        <f>B254 &amp; ".P"</f>
        <v>RNSL.P</v>
      </c>
      <c r="C255" s="1416" t="s">
        <v>28</v>
      </c>
      <c r="D255" s="1407" t="s">
        <v>29</v>
      </c>
      <c r="E255" s="1408">
        <f>IF(E256=0,0,E254*1000/E256)</f>
        <v>0</v>
      </c>
      <c r="F255" s="1408">
        <f>IF(F256=0,0,F254*1000/F256)</f>
        <v>0</v>
      </c>
      <c r="G255" s="1408">
        <f>IF(G256=0,0,G254*1000/G256)</f>
        <v>0</v>
      </c>
      <c r="H255" s="1396"/>
      <c r="I255" s="1413"/>
      <c r="J255" s="1414"/>
      <c r="K255" s="1414"/>
    </row>
    <row r="256" spans="2:11">
      <c r="B256" s="1415" t="str">
        <f>B254 &amp; ".V"</f>
        <v>RNSL.V</v>
      </c>
      <c r="C256" s="1416" t="s">
        <v>603</v>
      </c>
      <c r="D256" s="1407" t="s">
        <v>31</v>
      </c>
      <c r="E256" s="1408">
        <f t="shared" ref="E256:G257" si="71">SUMIF($AS$9:$AW$9,E$9,$AS256:$AW256)</f>
        <v>0</v>
      </c>
      <c r="F256" s="1408">
        <f t="shared" si="71"/>
        <v>0</v>
      </c>
      <c r="G256" s="1408">
        <f t="shared" si="71"/>
        <v>0</v>
      </c>
      <c r="H256" s="1396"/>
      <c r="I256" s="1414"/>
      <c r="J256" s="1414"/>
      <c r="K256" s="1414"/>
    </row>
    <row r="257" spans="2:11">
      <c r="B257" s="1410" t="s">
        <v>1704</v>
      </c>
      <c r="C257" s="1412" t="s">
        <v>1705</v>
      </c>
      <c r="D257" s="1407" t="s">
        <v>22</v>
      </c>
      <c r="E257" s="1408">
        <f t="shared" si="71"/>
        <v>0</v>
      </c>
      <c r="F257" s="1408">
        <f t="shared" si="71"/>
        <v>0</v>
      </c>
      <c r="G257" s="1408">
        <f t="shared" si="71"/>
        <v>0</v>
      </c>
      <c r="H257" s="1396"/>
      <c r="I257" s="1413"/>
      <c r="J257" s="1414"/>
      <c r="K257" s="1414"/>
    </row>
    <row r="258" spans="2:11">
      <c r="B258" s="1415" t="str">
        <f>B257 &amp; ".P"</f>
        <v>PBAC.P</v>
      </c>
      <c r="C258" s="1416" t="s">
        <v>28</v>
      </c>
      <c r="D258" s="1407" t="s">
        <v>29</v>
      </c>
      <c r="E258" s="1408">
        <f>IF(E259=0,0,E257*1000/E259)</f>
        <v>0</v>
      </c>
      <c r="F258" s="1408">
        <f>IF(F259=0,0,F257*1000/F259)</f>
        <v>0</v>
      </c>
      <c r="G258" s="1408">
        <f>IF(G259=0,0,G257*1000/G259)</f>
        <v>0</v>
      </c>
      <c r="H258" s="1396"/>
      <c r="I258" s="1413"/>
      <c r="J258" s="1414"/>
      <c r="K258" s="1414"/>
    </row>
    <row r="259" spans="2:11">
      <c r="B259" s="1415" t="str">
        <f>B257 &amp; ".V"</f>
        <v>PBAC.V</v>
      </c>
      <c r="C259" s="1416" t="s">
        <v>603</v>
      </c>
      <c r="D259" s="1407" t="s">
        <v>31</v>
      </c>
      <c r="E259" s="1408">
        <f t="shared" ref="E259:G260" si="72">SUMIF($AS$9:$AW$9,E$9,$AS259:$AW259)</f>
        <v>0</v>
      </c>
      <c r="F259" s="1408">
        <f t="shared" si="72"/>
        <v>0</v>
      </c>
      <c r="G259" s="1408">
        <f t="shared" si="72"/>
        <v>0</v>
      </c>
      <c r="H259" s="1396"/>
      <c r="I259" s="1414"/>
      <c r="J259" s="1414"/>
      <c r="K259" s="1414"/>
    </row>
    <row r="260" spans="2:11">
      <c r="B260" s="1410" t="s">
        <v>1706</v>
      </c>
      <c r="C260" s="1412" t="s">
        <v>1707</v>
      </c>
      <c r="D260" s="1407" t="s">
        <v>22</v>
      </c>
      <c r="E260" s="1408">
        <f t="shared" si="72"/>
        <v>0</v>
      </c>
      <c r="F260" s="1408">
        <f t="shared" si="72"/>
        <v>0</v>
      </c>
      <c r="G260" s="1408">
        <f t="shared" si="72"/>
        <v>0</v>
      </c>
      <c r="H260" s="1396"/>
      <c r="I260" s="1413"/>
      <c r="J260" s="1414"/>
      <c r="K260" s="1414"/>
    </row>
    <row r="261" spans="2:11">
      <c r="B261" s="1415" t="str">
        <f>B260 &amp; ".P"</f>
        <v>AGN.P</v>
      </c>
      <c r="C261" s="1416" t="s">
        <v>28</v>
      </c>
      <c r="D261" s="1407" t="s">
        <v>29</v>
      </c>
      <c r="E261" s="1408">
        <f>IF(E262=0,0,E260*1000/E262)</f>
        <v>0</v>
      </c>
      <c r="F261" s="1408">
        <f>IF(F262=0,0,F260*1000/F262)</f>
        <v>0</v>
      </c>
      <c r="G261" s="1408">
        <f>IF(G262=0,0,G260*1000/G262)</f>
        <v>0</v>
      </c>
      <c r="H261" s="1396"/>
      <c r="I261" s="1413"/>
      <c r="J261" s="1414"/>
      <c r="K261" s="1414"/>
    </row>
    <row r="262" spans="2:11">
      <c r="B262" s="1415" t="str">
        <f>B260 &amp; ".V"</f>
        <v>AGN.V</v>
      </c>
      <c r="C262" s="1416" t="s">
        <v>603</v>
      </c>
      <c r="D262" s="1407" t="s">
        <v>31</v>
      </c>
      <c r="E262" s="1408">
        <f t="shared" ref="E262:G263" si="73">SUMIF($AS$9:$AW$9,E$9,$AS262:$AW262)</f>
        <v>0</v>
      </c>
      <c r="F262" s="1408">
        <f t="shared" si="73"/>
        <v>0</v>
      </c>
      <c r="G262" s="1408">
        <f t="shared" si="73"/>
        <v>0</v>
      </c>
      <c r="H262" s="1396"/>
      <c r="I262" s="1414"/>
      <c r="J262" s="1414"/>
      <c r="K262" s="1414"/>
    </row>
    <row r="263" spans="2:11">
      <c r="B263" s="1410" t="s">
        <v>1708</v>
      </c>
      <c r="C263" s="1412" t="s">
        <v>1709</v>
      </c>
      <c r="D263" s="1407" t="s">
        <v>22</v>
      </c>
      <c r="E263" s="1408">
        <f t="shared" si="73"/>
        <v>0</v>
      </c>
      <c r="F263" s="1408">
        <f t="shared" si="73"/>
        <v>0</v>
      </c>
      <c r="G263" s="1408">
        <f t="shared" si="73"/>
        <v>0</v>
      </c>
      <c r="H263" s="1396"/>
      <c r="I263" s="1413"/>
      <c r="J263" s="1414"/>
      <c r="K263" s="1414"/>
    </row>
    <row r="264" spans="2:11">
      <c r="B264" s="1415" t="str">
        <f>B263 &amp; ".P"</f>
        <v>AGS.P</v>
      </c>
      <c r="C264" s="1416" t="s">
        <v>28</v>
      </c>
      <c r="D264" s="1407" t="s">
        <v>29</v>
      </c>
      <c r="E264" s="1408">
        <f>IF(E265=0,0,E263*1000/E265)</f>
        <v>0</v>
      </c>
      <c r="F264" s="1408">
        <f>IF(F265=0,0,F263*1000/F265)</f>
        <v>0</v>
      </c>
      <c r="G264" s="1408">
        <f>IF(G265=0,0,G263*1000/G265)</f>
        <v>0</v>
      </c>
      <c r="H264" s="1396"/>
      <c r="I264" s="1413"/>
      <c r="J264" s="1414"/>
      <c r="K264" s="1414"/>
    </row>
    <row r="265" spans="2:11">
      <c r="B265" s="1415" t="str">
        <f>B263 &amp; ".V"</f>
        <v>AGS.V</v>
      </c>
      <c r="C265" s="1416" t="s">
        <v>603</v>
      </c>
      <c r="D265" s="1407" t="s">
        <v>31</v>
      </c>
      <c r="E265" s="1408">
        <f t="shared" ref="E265:G266" si="74">SUMIF($AS$9:$AW$9,E$9,$AS265:$AW265)</f>
        <v>0</v>
      </c>
      <c r="F265" s="1408">
        <f t="shared" si="74"/>
        <v>0</v>
      </c>
      <c r="G265" s="1408">
        <f t="shared" si="74"/>
        <v>0</v>
      </c>
      <c r="H265" s="1396"/>
      <c r="I265" s="1414"/>
      <c r="J265" s="1414"/>
      <c r="K265" s="1414"/>
    </row>
    <row r="266" spans="2:11">
      <c r="B266" s="1410" t="s">
        <v>1710</v>
      </c>
      <c r="C266" s="1412" t="s">
        <v>1711</v>
      </c>
      <c r="D266" s="1407" t="s">
        <v>22</v>
      </c>
      <c r="E266" s="1408">
        <f t="shared" si="74"/>
        <v>0</v>
      </c>
      <c r="F266" s="1408">
        <f t="shared" si="74"/>
        <v>0</v>
      </c>
      <c r="G266" s="1408">
        <f t="shared" si="74"/>
        <v>0</v>
      </c>
      <c r="H266" s="1396"/>
      <c r="I266" s="1413"/>
      <c r="J266" s="1414"/>
      <c r="K266" s="1414"/>
    </row>
    <row r="267" spans="2:11">
      <c r="B267" s="1415" t="str">
        <f>B266 &amp; ".P"</f>
        <v>SODACA.P</v>
      </c>
      <c r="C267" s="1416" t="s">
        <v>28</v>
      </c>
      <c r="D267" s="1407" t="s">
        <v>29</v>
      </c>
      <c r="E267" s="1408">
        <f>IF(E268=0,0,E266*1000/E268)</f>
        <v>0</v>
      </c>
      <c r="F267" s="1408">
        <f>IF(F268=0,0,F266*1000/F268)</f>
        <v>0</v>
      </c>
      <c r="G267" s="1408">
        <f>IF(G268=0,0,G266*1000/G268)</f>
        <v>0</v>
      </c>
      <c r="H267" s="1396"/>
      <c r="I267" s="1413"/>
      <c r="J267" s="1414"/>
      <c r="K267" s="1414"/>
    </row>
    <row r="268" spans="2:11">
      <c r="B268" s="1415" t="str">
        <f>B266 &amp; ".V"</f>
        <v>SODACA.V</v>
      </c>
      <c r="C268" s="1416" t="s">
        <v>603</v>
      </c>
      <c r="D268" s="1407" t="s">
        <v>31</v>
      </c>
      <c r="E268" s="1408">
        <f t="shared" ref="E268:G269" si="75">SUMIF($AS$9:$AW$9,E$9,$AS268:$AW268)</f>
        <v>0</v>
      </c>
      <c r="F268" s="1408">
        <f t="shared" si="75"/>
        <v>0</v>
      </c>
      <c r="G268" s="1408">
        <f t="shared" si="75"/>
        <v>0</v>
      </c>
      <c r="H268" s="1396"/>
      <c r="I268" s="1414"/>
      <c r="J268" s="1414"/>
      <c r="K268" s="1414"/>
    </row>
    <row r="269" spans="2:11">
      <c r="B269" s="1410" t="s">
        <v>1712</v>
      </c>
      <c r="C269" s="1412" t="s">
        <v>1713</v>
      </c>
      <c r="D269" s="1407" t="s">
        <v>22</v>
      </c>
      <c r="E269" s="1408">
        <f t="shared" si="75"/>
        <v>0</v>
      </c>
      <c r="F269" s="1408">
        <f t="shared" si="75"/>
        <v>0</v>
      </c>
      <c r="G269" s="1408">
        <f t="shared" si="75"/>
        <v>0</v>
      </c>
      <c r="H269" s="1396"/>
      <c r="I269" s="1413"/>
      <c r="J269" s="1414"/>
      <c r="K269" s="1414"/>
    </row>
    <row r="270" spans="2:11">
      <c r="B270" s="1415" t="str">
        <f>B269 &amp; ".P"</f>
        <v>SODACS.P</v>
      </c>
      <c r="C270" s="1416" t="s">
        <v>28</v>
      </c>
      <c r="D270" s="1407" t="s">
        <v>29</v>
      </c>
      <c r="E270" s="1408">
        <f>IF(E271=0,0,E269*1000/E271)</f>
        <v>0</v>
      </c>
      <c r="F270" s="1408">
        <f>IF(F271=0,0,F269*1000/F271)</f>
        <v>0</v>
      </c>
      <c r="G270" s="1408">
        <f>IF(G271=0,0,G269*1000/G271)</f>
        <v>0</v>
      </c>
      <c r="H270" s="1396"/>
      <c r="I270" s="1413"/>
      <c r="J270" s="1414"/>
      <c r="K270" s="1414"/>
    </row>
    <row r="271" spans="2:11">
      <c r="B271" s="1415" t="str">
        <f>B269 &amp; ".V"</f>
        <v>SODACS.V</v>
      </c>
      <c r="C271" s="1416" t="s">
        <v>603</v>
      </c>
      <c r="D271" s="1407" t="s">
        <v>31</v>
      </c>
      <c r="E271" s="1408">
        <f t="shared" ref="E271:G272" si="76">SUMIF($AS$9:$AW$9,E$9,$AS271:$AW271)</f>
        <v>0</v>
      </c>
      <c r="F271" s="1408">
        <f t="shared" si="76"/>
        <v>0</v>
      </c>
      <c r="G271" s="1408">
        <f t="shared" si="76"/>
        <v>0</v>
      </c>
      <c r="H271" s="1396"/>
      <c r="I271" s="1414"/>
      <c r="J271" s="1414"/>
      <c r="K271" s="1414"/>
    </row>
    <row r="272" spans="2:11">
      <c r="B272" s="1410" t="s">
        <v>1714</v>
      </c>
      <c r="C272" s="1412" t="s">
        <v>1715</v>
      </c>
      <c r="D272" s="1407" t="s">
        <v>22</v>
      </c>
      <c r="E272" s="1408">
        <f t="shared" si="76"/>
        <v>0</v>
      </c>
      <c r="F272" s="1408">
        <f t="shared" si="76"/>
        <v>0</v>
      </c>
      <c r="G272" s="1408">
        <f t="shared" si="76"/>
        <v>0</v>
      </c>
      <c r="H272" s="1396"/>
      <c r="I272" s="1413"/>
      <c r="J272" s="1414"/>
      <c r="K272" s="1414"/>
    </row>
    <row r="273" spans="2:11">
      <c r="B273" s="1415" t="str">
        <f>B272 &amp; ".P"</f>
        <v>SALT1G.P</v>
      </c>
      <c r="C273" s="1416" t="s">
        <v>28</v>
      </c>
      <c r="D273" s="1407" t="s">
        <v>29</v>
      </c>
      <c r="E273" s="1408">
        <f>IF(E274=0,0,E272*1000/E274)</f>
        <v>0</v>
      </c>
      <c r="F273" s="1408">
        <f>IF(F274=0,0,F272*1000/F274)</f>
        <v>0</v>
      </c>
      <c r="G273" s="1408">
        <f>IF(G274=0,0,G272*1000/G274)</f>
        <v>0</v>
      </c>
      <c r="H273" s="1396"/>
      <c r="I273" s="1413"/>
      <c r="J273" s="1414"/>
      <c r="K273" s="1414"/>
    </row>
    <row r="274" spans="2:11">
      <c r="B274" s="1415" t="str">
        <f>B272 &amp; ".V"</f>
        <v>SALT1G.V</v>
      </c>
      <c r="C274" s="1416" t="s">
        <v>603</v>
      </c>
      <c r="D274" s="1407" t="s">
        <v>31</v>
      </c>
      <c r="E274" s="1408">
        <f t="shared" ref="E274:G275" si="77">SUMIF($AS$9:$AW$9,E$9,$AS274:$AW274)</f>
        <v>0</v>
      </c>
      <c r="F274" s="1408">
        <f t="shared" si="77"/>
        <v>0</v>
      </c>
      <c r="G274" s="1408">
        <f t="shared" si="77"/>
        <v>0</v>
      </c>
      <c r="H274" s="1396"/>
      <c r="I274" s="1414"/>
      <c r="J274" s="1414"/>
      <c r="K274" s="1414"/>
    </row>
    <row r="275" spans="2:11">
      <c r="B275" s="1410" t="s">
        <v>1716</v>
      </c>
      <c r="C275" s="1412" t="s">
        <v>1717</v>
      </c>
      <c r="D275" s="1407" t="s">
        <v>22</v>
      </c>
      <c r="E275" s="1408">
        <f t="shared" si="77"/>
        <v>0</v>
      </c>
      <c r="F275" s="1408">
        <f t="shared" si="77"/>
        <v>0</v>
      </c>
      <c r="G275" s="1408">
        <f t="shared" si="77"/>
        <v>0</v>
      </c>
      <c r="H275" s="1396"/>
      <c r="I275" s="1413"/>
      <c r="J275" s="1414"/>
      <c r="K275" s="1414"/>
    </row>
    <row r="276" spans="2:11">
      <c r="B276" s="1415" t="str">
        <f>B275 &amp; ".P"</f>
        <v>SALT.P</v>
      </c>
      <c r="C276" s="1416" t="s">
        <v>28</v>
      </c>
      <c r="D276" s="1407" t="s">
        <v>29</v>
      </c>
      <c r="E276" s="1408">
        <f>IF(E277=0,0,E275*1000/E277)</f>
        <v>0</v>
      </c>
      <c r="F276" s="1408">
        <f>IF(F277=0,0,F275*1000/F277)</f>
        <v>0</v>
      </c>
      <c r="G276" s="1408">
        <f>IF(G277=0,0,G275*1000/G277)</f>
        <v>0</v>
      </c>
      <c r="H276" s="1396"/>
      <c r="I276" s="1413"/>
      <c r="J276" s="1414"/>
      <c r="K276" s="1414"/>
    </row>
    <row r="277" spans="2:11">
      <c r="B277" s="1415" t="str">
        <f>B275 &amp; ".V"</f>
        <v>SALT.V</v>
      </c>
      <c r="C277" s="1416" t="s">
        <v>603</v>
      </c>
      <c r="D277" s="1407" t="s">
        <v>31</v>
      </c>
      <c r="E277" s="1408">
        <f t="shared" ref="E277:G278" si="78">SUMIF($AS$9:$AW$9,E$9,$AS277:$AW277)</f>
        <v>0</v>
      </c>
      <c r="F277" s="1408">
        <f t="shared" si="78"/>
        <v>0</v>
      </c>
      <c r="G277" s="1408">
        <f t="shared" si="78"/>
        <v>0</v>
      </c>
      <c r="H277" s="1396"/>
      <c r="I277" s="1414"/>
      <c r="J277" s="1414"/>
      <c r="K277" s="1414"/>
    </row>
    <row r="278" spans="2:11">
      <c r="B278" s="1410" t="s">
        <v>1718</v>
      </c>
      <c r="C278" s="1412" t="s">
        <v>1719</v>
      </c>
      <c r="D278" s="1407" t="s">
        <v>22</v>
      </c>
      <c r="E278" s="1408">
        <f t="shared" si="78"/>
        <v>0</v>
      </c>
      <c r="F278" s="1408">
        <f t="shared" si="78"/>
        <v>0</v>
      </c>
      <c r="G278" s="1408">
        <f t="shared" si="78"/>
        <v>0</v>
      </c>
      <c r="H278" s="1396"/>
      <c r="I278" s="1413"/>
      <c r="J278" s="1414"/>
      <c r="K278" s="1414"/>
    </row>
    <row r="279" spans="2:11">
      <c r="B279" s="1415" t="str">
        <f>B278 &amp; ".P"</f>
        <v>SALTPL.P</v>
      </c>
      <c r="C279" s="1416" t="s">
        <v>28</v>
      </c>
      <c r="D279" s="1407" t="s">
        <v>29</v>
      </c>
      <c r="E279" s="1408">
        <f>IF(E280=0,0,E278*1000/E280)</f>
        <v>0</v>
      </c>
      <c r="F279" s="1408">
        <f>IF(F280=0,0,F278*1000/F280)</f>
        <v>0</v>
      </c>
      <c r="G279" s="1408">
        <f>IF(G280=0,0,G278*1000/G280)</f>
        <v>0</v>
      </c>
      <c r="H279" s="1396"/>
      <c r="I279" s="1413"/>
      <c r="J279" s="1414"/>
      <c r="K279" s="1414"/>
    </row>
    <row r="280" spans="2:11">
      <c r="B280" s="1415" t="str">
        <f>B278 &amp; ".V"</f>
        <v>SALTPL.V</v>
      </c>
      <c r="C280" s="1416" t="s">
        <v>603</v>
      </c>
      <c r="D280" s="1407" t="s">
        <v>31</v>
      </c>
      <c r="E280" s="1408">
        <f t="shared" ref="E280:G281" si="79">SUMIF($AS$9:$AW$9,E$9,$AS280:$AW280)</f>
        <v>0</v>
      </c>
      <c r="F280" s="1408">
        <f t="shared" si="79"/>
        <v>0</v>
      </c>
      <c r="G280" s="1408">
        <f t="shared" si="79"/>
        <v>0</v>
      </c>
      <c r="H280" s="1396"/>
      <c r="I280" s="1414"/>
      <c r="J280" s="1414"/>
      <c r="K280" s="1414"/>
    </row>
    <row r="281" spans="2:11">
      <c r="B281" s="1410" t="s">
        <v>1720</v>
      </c>
      <c r="C281" s="1412" t="s">
        <v>1721</v>
      </c>
      <c r="D281" s="1407" t="s">
        <v>22</v>
      </c>
      <c r="E281" s="1408">
        <f t="shared" si="79"/>
        <v>0</v>
      </c>
      <c r="F281" s="1408">
        <f t="shared" si="79"/>
        <v>0</v>
      </c>
      <c r="G281" s="1408">
        <f t="shared" si="79"/>
        <v>0</v>
      </c>
      <c r="H281" s="1396"/>
      <c r="I281" s="1413"/>
      <c r="J281" s="1414"/>
      <c r="K281" s="1414"/>
    </row>
    <row r="282" spans="2:11">
      <c r="B282" s="1415" t="str">
        <f>B281 &amp; ".P"</f>
        <v>SALTTH.P</v>
      </c>
      <c r="C282" s="1416" t="s">
        <v>28</v>
      </c>
      <c r="D282" s="1407" t="s">
        <v>29</v>
      </c>
      <c r="E282" s="1408">
        <f>IF(E283=0,0,E281*1000/E283)</f>
        <v>0</v>
      </c>
      <c r="F282" s="1408">
        <f>IF(F283=0,0,F281*1000/F283)</f>
        <v>0</v>
      </c>
      <c r="G282" s="1408">
        <f>IF(G283=0,0,G281*1000/G283)</f>
        <v>0</v>
      </c>
      <c r="H282" s="1396"/>
      <c r="I282" s="1413"/>
      <c r="J282" s="1414"/>
      <c r="K282" s="1414"/>
    </row>
    <row r="283" spans="2:11">
      <c r="B283" s="1415" t="str">
        <f>B281 &amp; ".V"</f>
        <v>SALTTH.V</v>
      </c>
      <c r="C283" s="1416" t="s">
        <v>603</v>
      </c>
      <c r="D283" s="1407" t="s">
        <v>31</v>
      </c>
      <c r="E283" s="1408">
        <f t="shared" ref="E283:G284" si="80">SUMIF($AS$9:$AW$9,E$9,$AS283:$AW283)</f>
        <v>0</v>
      </c>
      <c r="F283" s="1408">
        <f t="shared" si="80"/>
        <v>0</v>
      </c>
      <c r="G283" s="1408">
        <f t="shared" si="80"/>
        <v>0</v>
      </c>
      <c r="H283" s="1396"/>
      <c r="I283" s="1414"/>
      <c r="J283" s="1414"/>
      <c r="K283" s="1414"/>
    </row>
    <row r="284" spans="2:11">
      <c r="B284" s="1410" t="s">
        <v>1722</v>
      </c>
      <c r="C284" s="1412" t="s">
        <v>1723</v>
      </c>
      <c r="D284" s="1407" t="s">
        <v>22</v>
      </c>
      <c r="E284" s="1408">
        <f t="shared" si="80"/>
        <v>0</v>
      </c>
      <c r="F284" s="1408">
        <f t="shared" si="80"/>
        <v>0</v>
      </c>
      <c r="G284" s="1408">
        <f t="shared" si="80"/>
        <v>0</v>
      </c>
      <c r="H284" s="1396"/>
      <c r="I284" s="1408">
        <f>J284+K284</f>
        <v>47.530360000000002</v>
      </c>
      <c r="J284" s="1409">
        <f>J285*J286/1000</f>
        <v>1.1679600000000001</v>
      </c>
      <c r="K284" s="1409">
        <f>K285*K286/1000</f>
        <v>46.362400000000001</v>
      </c>
    </row>
    <row r="285" spans="2:11">
      <c r="B285" s="1415" t="str">
        <f>B284 &amp; ".P"</f>
        <v>SALTEX.P</v>
      </c>
      <c r="C285" s="1416" t="s">
        <v>28</v>
      </c>
      <c r="D285" s="1407" t="s">
        <v>29</v>
      </c>
      <c r="E285" s="1408">
        <f>IF(E286=0,0,E284*1000/E286)</f>
        <v>0</v>
      </c>
      <c r="F285" s="1408">
        <f>IF(F286=0,0,F284*1000/F286)</f>
        <v>0</v>
      </c>
      <c r="G285" s="1408">
        <f>IF(G286=0,0,G284*1000/G286)</f>
        <v>0</v>
      </c>
      <c r="H285" s="1396"/>
      <c r="I285" s="1408">
        <f>IF(I286=0,0,I284*1000/I286)</f>
        <v>9.7398278688524584</v>
      </c>
      <c r="J285" s="1419">
        <v>9.7330000000000005</v>
      </c>
      <c r="K285" s="1419">
        <v>9.74</v>
      </c>
    </row>
    <row r="286" spans="2:11">
      <c r="B286" s="1415" t="str">
        <f>B284 &amp; ".V"</f>
        <v>SALTEX.V</v>
      </c>
      <c r="C286" s="1416" t="s">
        <v>603</v>
      </c>
      <c r="D286" s="1407" t="s">
        <v>31</v>
      </c>
      <c r="E286" s="1408">
        <f t="shared" ref="E286:G287" si="81">SUMIF($AS$9:$AW$9,E$9,$AS286:$AW286)</f>
        <v>0</v>
      </c>
      <c r="F286" s="1408">
        <f t="shared" si="81"/>
        <v>0</v>
      </c>
      <c r="G286" s="1408">
        <f t="shared" si="81"/>
        <v>0</v>
      </c>
      <c r="H286" s="1396"/>
      <c r="I286" s="1408">
        <f>J286+K286</f>
        <v>4880</v>
      </c>
      <c r="J286" s="1419">
        <v>120</v>
      </c>
      <c r="K286" s="1419">
        <v>4760</v>
      </c>
    </row>
    <row r="287" spans="2:11">
      <c r="B287" s="1410" t="s">
        <v>1724</v>
      </c>
      <c r="C287" s="1412" t="s">
        <v>1725</v>
      </c>
      <c r="D287" s="1407" t="s">
        <v>22</v>
      </c>
      <c r="E287" s="1408">
        <f t="shared" si="81"/>
        <v>0</v>
      </c>
      <c r="F287" s="1408">
        <f t="shared" si="81"/>
        <v>0</v>
      </c>
      <c r="G287" s="1408">
        <f t="shared" si="81"/>
        <v>0</v>
      </c>
      <c r="H287" s="1396"/>
      <c r="I287" s="1413"/>
      <c r="J287" s="1414"/>
      <c r="K287" s="1414"/>
    </row>
    <row r="288" spans="2:11">
      <c r="B288" s="1415" t="str">
        <f>B287 &amp; ".P"</f>
        <v>C2H5OH.P</v>
      </c>
      <c r="C288" s="1416" t="s">
        <v>28</v>
      </c>
      <c r="D288" s="1407" t="s">
        <v>29</v>
      </c>
      <c r="E288" s="1408">
        <f>IF(E289=0,0,E287*1000/E289)</f>
        <v>0</v>
      </c>
      <c r="F288" s="1408">
        <f>IF(F289=0,0,F287*1000/F289)</f>
        <v>0</v>
      </c>
      <c r="G288" s="1408">
        <f>IF(G289=0,0,G287*1000/G289)</f>
        <v>0</v>
      </c>
      <c r="H288" s="1396"/>
      <c r="I288" s="1413"/>
      <c r="J288" s="1414"/>
      <c r="K288" s="1414"/>
    </row>
    <row r="289" spans="2:11">
      <c r="B289" s="1415" t="str">
        <f>B287 &amp; ".V"</f>
        <v>C2H5OH.V</v>
      </c>
      <c r="C289" s="1416" t="s">
        <v>603</v>
      </c>
      <c r="D289" s="1407" t="s">
        <v>31</v>
      </c>
      <c r="E289" s="1408">
        <f t="shared" ref="E289:G290" si="82">SUMIF($AS$9:$AW$9,E$9,$AS289:$AW289)</f>
        <v>0</v>
      </c>
      <c r="F289" s="1408">
        <f t="shared" si="82"/>
        <v>0</v>
      </c>
      <c r="G289" s="1408">
        <f t="shared" si="82"/>
        <v>0</v>
      </c>
      <c r="H289" s="1396"/>
      <c r="I289" s="1414"/>
      <c r="J289" s="1414"/>
      <c r="K289" s="1414"/>
    </row>
    <row r="290" spans="2:11">
      <c r="B290" s="1410" t="s">
        <v>1726</v>
      </c>
      <c r="C290" s="1412" t="s">
        <v>1727</v>
      </c>
      <c r="D290" s="1407" t="s">
        <v>22</v>
      </c>
      <c r="E290" s="1408">
        <f t="shared" si="82"/>
        <v>0</v>
      </c>
      <c r="F290" s="1408">
        <f t="shared" si="82"/>
        <v>0</v>
      </c>
      <c r="G290" s="1408">
        <f t="shared" si="82"/>
        <v>0</v>
      </c>
      <c r="H290" s="1396"/>
      <c r="I290" s="1413"/>
      <c r="J290" s="1414"/>
      <c r="K290" s="1414"/>
    </row>
    <row r="291" spans="2:11">
      <c r="B291" s="1415" t="str">
        <f>B290 &amp; ".P"</f>
        <v>SFAL1G.P</v>
      </c>
      <c r="C291" s="1416" t="s">
        <v>28</v>
      </c>
      <c r="D291" s="1407" t="s">
        <v>29</v>
      </c>
      <c r="E291" s="1408">
        <f>IF(E292=0,0,E290*1000/E292)</f>
        <v>0</v>
      </c>
      <c r="F291" s="1408">
        <f>IF(F292=0,0,F290*1000/F292)</f>
        <v>0</v>
      </c>
      <c r="G291" s="1408">
        <f>IF(G292=0,0,G290*1000/G292)</f>
        <v>0</v>
      </c>
      <c r="H291" s="1396"/>
      <c r="I291" s="1413"/>
      <c r="J291" s="1414"/>
      <c r="K291" s="1414"/>
    </row>
    <row r="292" spans="2:11">
      <c r="B292" s="1415" t="str">
        <f>B290 &amp; ".V"</f>
        <v>SFAL1G.V</v>
      </c>
      <c r="C292" s="1416" t="s">
        <v>603</v>
      </c>
      <c r="D292" s="1407" t="s">
        <v>31</v>
      </c>
      <c r="E292" s="1408">
        <f t="shared" ref="E292:G293" si="83">SUMIF($AS$9:$AW$9,E$9,$AS292:$AW292)</f>
        <v>0</v>
      </c>
      <c r="F292" s="1408">
        <f t="shared" si="83"/>
        <v>0</v>
      </c>
      <c r="G292" s="1408">
        <f t="shared" si="83"/>
        <v>0</v>
      </c>
      <c r="H292" s="1396"/>
      <c r="I292" s="1414"/>
      <c r="J292" s="1414"/>
      <c r="K292" s="1414"/>
    </row>
    <row r="293" spans="2:11">
      <c r="B293" s="1410" t="s">
        <v>1728</v>
      </c>
      <c r="C293" s="1412" t="s">
        <v>1729</v>
      </c>
      <c r="D293" s="1407" t="s">
        <v>22</v>
      </c>
      <c r="E293" s="1408">
        <f t="shared" si="83"/>
        <v>0</v>
      </c>
      <c r="F293" s="1408">
        <f t="shared" si="83"/>
        <v>0</v>
      </c>
      <c r="G293" s="1408">
        <f t="shared" si="83"/>
        <v>0</v>
      </c>
      <c r="H293" s="1396"/>
      <c r="I293" s="1413"/>
      <c r="J293" s="1414"/>
      <c r="K293" s="1414"/>
    </row>
    <row r="294" spans="2:11">
      <c r="B294" s="1415" t="str">
        <f>B293 &amp; ".P"</f>
        <v>SFALLQD.P</v>
      </c>
      <c r="C294" s="1416" t="s">
        <v>28</v>
      </c>
      <c r="D294" s="1407" t="s">
        <v>29</v>
      </c>
      <c r="E294" s="1408">
        <f>IF(E295=0,0,E293*1000/E295)</f>
        <v>0</v>
      </c>
      <c r="F294" s="1408">
        <f>IF(F295=0,0,F293*1000/F295)</f>
        <v>0</v>
      </c>
      <c r="G294" s="1408">
        <f>IF(G295=0,0,G293*1000/G295)</f>
        <v>0</v>
      </c>
      <c r="H294" s="1396"/>
      <c r="I294" s="1413"/>
      <c r="J294" s="1414"/>
      <c r="K294" s="1414"/>
    </row>
    <row r="295" spans="2:11">
      <c r="B295" s="1415" t="str">
        <f>B293 &amp; ".V"</f>
        <v>SFALLQD.V</v>
      </c>
      <c r="C295" s="1416" t="s">
        <v>603</v>
      </c>
      <c r="D295" s="1407" t="s">
        <v>31</v>
      </c>
      <c r="E295" s="1408">
        <f t="shared" ref="E295:G296" si="84">SUMIF($AS$9:$AW$9,E$9,$AS295:$AW295)</f>
        <v>0</v>
      </c>
      <c r="F295" s="1408">
        <f t="shared" si="84"/>
        <v>0</v>
      </c>
      <c r="G295" s="1408">
        <f t="shared" si="84"/>
        <v>0</v>
      </c>
      <c r="H295" s="1396"/>
      <c r="I295" s="1414"/>
      <c r="J295" s="1414"/>
      <c r="K295" s="1414"/>
    </row>
    <row r="296" spans="2:11">
      <c r="B296" s="1410" t="s">
        <v>1730</v>
      </c>
      <c r="C296" s="1412" t="s">
        <v>1731</v>
      </c>
      <c r="D296" s="1407" t="s">
        <v>22</v>
      </c>
      <c r="E296" s="1408">
        <f t="shared" si="84"/>
        <v>0</v>
      </c>
      <c r="F296" s="1408">
        <f t="shared" si="84"/>
        <v>0</v>
      </c>
      <c r="G296" s="1408">
        <f t="shared" si="84"/>
        <v>0</v>
      </c>
      <c r="H296" s="1396"/>
      <c r="I296" s="1413"/>
      <c r="J296" s="1414"/>
      <c r="K296" s="1414"/>
    </row>
    <row r="297" spans="2:11">
      <c r="B297" s="1415" t="str">
        <f>B296 &amp; ".P"</f>
        <v>SFALT.P</v>
      </c>
      <c r="C297" s="1416" t="s">
        <v>28</v>
      </c>
      <c r="D297" s="1407" t="s">
        <v>29</v>
      </c>
      <c r="E297" s="1408">
        <f>IF(E298=0,0,E296*1000/E298)</f>
        <v>0</v>
      </c>
      <c r="F297" s="1408">
        <f>IF(F298=0,0,F296*1000/F298)</f>
        <v>0</v>
      </c>
      <c r="G297" s="1408">
        <f>IF(G298=0,0,G296*1000/G298)</f>
        <v>0</v>
      </c>
      <c r="H297" s="1396"/>
      <c r="I297" s="1413"/>
      <c r="J297" s="1414"/>
      <c r="K297" s="1414"/>
    </row>
    <row r="298" spans="2:11">
      <c r="B298" s="1415" t="str">
        <f>B296 &amp; ".V"</f>
        <v>SFALT.V</v>
      </c>
      <c r="C298" s="1416" t="s">
        <v>603</v>
      </c>
      <c r="D298" s="1407" t="s">
        <v>31</v>
      </c>
      <c r="E298" s="1408">
        <f t="shared" ref="E298:G299" si="85">SUMIF($AS$9:$AW$9,E$9,$AS298:$AW298)</f>
        <v>0</v>
      </c>
      <c r="F298" s="1408">
        <f t="shared" si="85"/>
        <v>0</v>
      </c>
      <c r="G298" s="1408">
        <f t="shared" si="85"/>
        <v>0</v>
      </c>
      <c r="H298" s="1396"/>
      <c r="I298" s="1414"/>
      <c r="J298" s="1414"/>
      <c r="K298" s="1414"/>
    </row>
    <row r="299" spans="2:11">
      <c r="B299" s="1410" t="s">
        <v>1732</v>
      </c>
      <c r="C299" s="1412" t="s">
        <v>1733</v>
      </c>
      <c r="D299" s="1407" t="s">
        <v>22</v>
      </c>
      <c r="E299" s="1408">
        <f t="shared" si="85"/>
        <v>0</v>
      </c>
      <c r="F299" s="1408">
        <f t="shared" si="85"/>
        <v>0</v>
      </c>
      <c r="G299" s="1408">
        <f t="shared" si="85"/>
        <v>0</v>
      </c>
      <c r="H299" s="1396"/>
      <c r="I299" s="1413"/>
      <c r="J299" s="1414"/>
      <c r="K299" s="1414"/>
    </row>
    <row r="300" spans="2:11">
      <c r="B300" s="1415" t="str">
        <f>B299 &amp; ".P"</f>
        <v>SFAMN.P</v>
      </c>
      <c r="C300" s="1416" t="s">
        <v>28</v>
      </c>
      <c r="D300" s="1407" t="s">
        <v>29</v>
      </c>
      <c r="E300" s="1408">
        <f>IF(E301=0,0,E299*1000/E301)</f>
        <v>0</v>
      </c>
      <c r="F300" s="1408">
        <f>IF(F301=0,0,F299*1000/F301)</f>
        <v>0</v>
      </c>
      <c r="G300" s="1408">
        <f>IF(G301=0,0,G299*1000/G301)</f>
        <v>0</v>
      </c>
      <c r="H300" s="1396"/>
      <c r="I300" s="1413"/>
      <c r="J300" s="1414"/>
      <c r="K300" s="1414"/>
    </row>
    <row r="301" spans="2:11">
      <c r="B301" s="1415" t="str">
        <f>B299 &amp; ".V"</f>
        <v>SFAMN.V</v>
      </c>
      <c r="C301" s="1416" t="s">
        <v>603</v>
      </c>
      <c r="D301" s="1407" t="s">
        <v>31</v>
      </c>
      <c r="E301" s="1408">
        <f t="shared" ref="E301:G302" si="86">SUMIF($AS$9:$AW$9,E$9,$AS301:$AW301)</f>
        <v>0</v>
      </c>
      <c r="F301" s="1408">
        <f t="shared" si="86"/>
        <v>0</v>
      </c>
      <c r="G301" s="1408">
        <f t="shared" si="86"/>
        <v>0</v>
      </c>
      <c r="H301" s="1396"/>
      <c r="I301" s="1414"/>
      <c r="J301" s="1414"/>
      <c r="K301" s="1414"/>
    </row>
    <row r="302" spans="2:11">
      <c r="B302" s="1410" t="s">
        <v>1734</v>
      </c>
      <c r="C302" s="1412" t="s">
        <v>1735</v>
      </c>
      <c r="D302" s="1407" t="s">
        <v>22</v>
      </c>
      <c r="E302" s="1408">
        <f t="shared" si="86"/>
        <v>0</v>
      </c>
      <c r="F302" s="1408">
        <f t="shared" si="86"/>
        <v>0</v>
      </c>
      <c r="G302" s="1408">
        <f t="shared" si="86"/>
        <v>0</v>
      </c>
      <c r="H302" s="1396"/>
      <c r="I302" s="1413"/>
      <c r="J302" s="1414"/>
      <c r="K302" s="1414"/>
    </row>
    <row r="303" spans="2:11">
      <c r="B303" s="1415" t="str">
        <f>B302 &amp; ".P"</f>
        <v>TM.P</v>
      </c>
      <c r="C303" s="1416" t="s">
        <v>28</v>
      </c>
      <c r="D303" s="1407" t="s">
        <v>29</v>
      </c>
      <c r="E303" s="1408">
        <f>IF(E304=0,0,E302*1000/E304)</f>
        <v>0</v>
      </c>
      <c r="F303" s="1408">
        <f>IF(F304=0,0,F302*1000/F304)</f>
        <v>0</v>
      </c>
      <c r="G303" s="1408">
        <f>IF(G304=0,0,G302*1000/G304)</f>
        <v>0</v>
      </c>
      <c r="H303" s="1396"/>
      <c r="I303" s="1413"/>
      <c r="J303" s="1414"/>
      <c r="K303" s="1414"/>
    </row>
    <row r="304" spans="2:11">
      <c r="B304" s="1415" t="str">
        <f>B302 &amp; ".V"</f>
        <v>TM.V</v>
      </c>
      <c r="C304" s="1416" t="s">
        <v>603</v>
      </c>
      <c r="D304" s="1407" t="s">
        <v>31</v>
      </c>
      <c r="E304" s="1408">
        <f t="shared" ref="E304:G305" si="87">SUMIF($AS$9:$AW$9,E$9,$AS304:$AW304)</f>
        <v>0</v>
      </c>
      <c r="F304" s="1408">
        <f t="shared" si="87"/>
        <v>0</v>
      </c>
      <c r="G304" s="1408">
        <f t="shared" si="87"/>
        <v>0</v>
      </c>
      <c r="H304" s="1396"/>
      <c r="I304" s="1414"/>
      <c r="J304" s="1414"/>
      <c r="K304" s="1414"/>
    </row>
    <row r="305" spans="2:11">
      <c r="B305" s="1410" t="s">
        <v>1736</v>
      </c>
      <c r="C305" s="1412" t="s">
        <v>1737</v>
      </c>
      <c r="D305" s="1407" t="s">
        <v>22</v>
      </c>
      <c r="E305" s="1408">
        <f t="shared" si="87"/>
        <v>0</v>
      </c>
      <c r="F305" s="1408">
        <f t="shared" si="87"/>
        <v>0</v>
      </c>
      <c r="G305" s="1408">
        <f t="shared" si="87"/>
        <v>0</v>
      </c>
      <c r="H305" s="1396"/>
      <c r="I305" s="1413"/>
      <c r="J305" s="1414"/>
      <c r="K305" s="1414"/>
    </row>
    <row r="306" spans="2:11">
      <c r="B306" s="1415" t="str">
        <f>B305 &amp; ".P"</f>
        <v>TSFNA.P</v>
      </c>
      <c r="C306" s="1416" t="s">
        <v>28</v>
      </c>
      <c r="D306" s="1407" t="s">
        <v>29</v>
      </c>
      <c r="E306" s="1408">
        <f>IF(E307=0,0,E305*1000/E307)</f>
        <v>0</v>
      </c>
      <c r="F306" s="1408">
        <f>IF(F307=0,0,F305*1000/F307)</f>
        <v>0</v>
      </c>
      <c r="G306" s="1408">
        <f>IF(G307=0,0,G305*1000/G307)</f>
        <v>0</v>
      </c>
      <c r="H306" s="1396"/>
      <c r="I306" s="1413"/>
      <c r="J306" s="1414"/>
      <c r="K306" s="1414"/>
    </row>
    <row r="307" spans="2:11">
      <c r="B307" s="1415" t="str">
        <f>B305 &amp; ".V"</f>
        <v>TSFNA.V</v>
      </c>
      <c r="C307" s="1416" t="s">
        <v>603</v>
      </c>
      <c r="D307" s="1407" t="s">
        <v>31</v>
      </c>
      <c r="E307" s="1408">
        <f t="shared" ref="E307:G311" si="88">SUMIF($AS$9:$AW$9,E$9,$AS307:$AW307)</f>
        <v>0</v>
      </c>
      <c r="F307" s="1408">
        <f t="shared" si="88"/>
        <v>0</v>
      </c>
      <c r="G307" s="1408">
        <f t="shared" si="88"/>
        <v>0</v>
      </c>
      <c r="H307" s="1396"/>
      <c r="I307" s="1414"/>
      <c r="J307" s="1414"/>
      <c r="K307" s="1414"/>
    </row>
    <row r="308" spans="2:11">
      <c r="B308" s="1418" t="s">
        <v>1738</v>
      </c>
      <c r="C308" s="1412" t="s">
        <v>1739</v>
      </c>
      <c r="D308" s="1407" t="s">
        <v>22</v>
      </c>
      <c r="E308" s="1408">
        <f t="shared" si="88"/>
        <v>0</v>
      </c>
      <c r="F308" s="1408">
        <f t="shared" si="88"/>
        <v>0</v>
      </c>
      <c r="G308" s="1408">
        <f t="shared" si="88"/>
        <v>0</v>
      </c>
      <c r="H308" s="1396"/>
      <c r="I308" s="1413"/>
      <c r="J308" s="1414"/>
      <c r="K308" s="1414"/>
    </row>
    <row r="309" spans="2:11">
      <c r="B309" s="1418" t="str">
        <f>B308 &amp; ".P"</f>
        <v>CARBONPWDRD.P</v>
      </c>
      <c r="C309" s="1416" t="s">
        <v>28</v>
      </c>
      <c r="D309" s="1407" t="s">
        <v>29</v>
      </c>
      <c r="E309" s="1408">
        <f>IF(E310=0,0,E308*1000/E310)</f>
        <v>0</v>
      </c>
      <c r="F309" s="1408">
        <f>IF(F310=0,0,F308*1000/F310)</f>
        <v>0</v>
      </c>
      <c r="G309" s="1408">
        <f>IF(G310=0,0,G308*1000/G310)</f>
        <v>0</v>
      </c>
      <c r="H309" s="1396"/>
      <c r="I309" s="1413"/>
      <c r="J309" s="1414"/>
      <c r="K309" s="1414"/>
    </row>
    <row r="310" spans="2:11">
      <c r="B310" s="1418" t="str">
        <f>B308 &amp; ".V"</f>
        <v>CARBONPWDRD.V</v>
      </c>
      <c r="C310" s="1416" t="s">
        <v>603</v>
      </c>
      <c r="D310" s="1407" t="s">
        <v>31</v>
      </c>
      <c r="E310" s="1408">
        <f>SUMIF($AS$9:$AW$9,E$9,$AS310:$AW310)</f>
        <v>0</v>
      </c>
      <c r="F310" s="1408">
        <f>SUMIF($AS$9:$AW$9,F$9,$AS310:$AW310)</f>
        <v>0</v>
      </c>
      <c r="G310" s="1408">
        <f>SUMIF($AS$9:$AW$9,G$9,$AS310:$AW310)</f>
        <v>0</v>
      </c>
      <c r="H310" s="1396"/>
      <c r="I310" s="1414"/>
      <c r="J310" s="1414"/>
      <c r="K310" s="1414"/>
    </row>
    <row r="311" spans="2:11">
      <c r="B311" s="1410" t="s">
        <v>1740</v>
      </c>
      <c r="C311" s="1412" t="s">
        <v>1741</v>
      </c>
      <c r="D311" s="1407" t="s">
        <v>22</v>
      </c>
      <c r="E311" s="1408">
        <f t="shared" si="88"/>
        <v>0</v>
      </c>
      <c r="F311" s="1408">
        <f t="shared" si="88"/>
        <v>0</v>
      </c>
      <c r="G311" s="1408">
        <f t="shared" si="88"/>
        <v>0</v>
      </c>
      <c r="H311" s="1396"/>
      <c r="I311" s="1413"/>
      <c r="J311" s="1414"/>
      <c r="K311" s="1414"/>
    </row>
    <row r="312" spans="2:11">
      <c r="B312" s="1415" t="str">
        <f>B311 &amp; ".P"</f>
        <v>CCL4.P</v>
      </c>
      <c r="C312" s="1416" t="s">
        <v>28</v>
      </c>
      <c r="D312" s="1407" t="s">
        <v>29</v>
      </c>
      <c r="E312" s="1408">
        <f>IF(E313=0,0,E311*1000/E313)</f>
        <v>0</v>
      </c>
      <c r="F312" s="1408">
        <f>IF(F313=0,0,F311*1000/F313)</f>
        <v>0</v>
      </c>
      <c r="G312" s="1408">
        <f>IF(G313=0,0,G311*1000/G313)</f>
        <v>0</v>
      </c>
      <c r="H312" s="1396"/>
      <c r="I312" s="1413"/>
      <c r="J312" s="1414"/>
      <c r="K312" s="1414"/>
    </row>
    <row r="313" spans="2:11">
      <c r="B313" s="1415" t="str">
        <f>B311 &amp; ".V"</f>
        <v>CCL4.V</v>
      </c>
      <c r="C313" s="1416" t="s">
        <v>603</v>
      </c>
      <c r="D313" s="1407" t="s">
        <v>31</v>
      </c>
      <c r="E313" s="1408">
        <f t="shared" ref="E313:G314" si="89">SUMIF($AS$9:$AW$9,E$9,$AS313:$AW313)</f>
        <v>0</v>
      </c>
      <c r="F313" s="1408">
        <f t="shared" si="89"/>
        <v>0</v>
      </c>
      <c r="G313" s="1408">
        <f t="shared" si="89"/>
        <v>0</v>
      </c>
      <c r="H313" s="1396"/>
      <c r="I313" s="1414"/>
      <c r="J313" s="1414"/>
      <c r="K313" s="1414"/>
    </row>
    <row r="314" spans="2:11">
      <c r="B314" s="1410" t="s">
        <v>1742</v>
      </c>
      <c r="C314" s="1412" t="s">
        <v>1743</v>
      </c>
      <c r="D314" s="1407" t="s">
        <v>22</v>
      </c>
      <c r="E314" s="1408">
        <f t="shared" si="89"/>
        <v>0</v>
      </c>
      <c r="F314" s="1408">
        <f t="shared" si="89"/>
        <v>0</v>
      </c>
      <c r="G314" s="1408">
        <f t="shared" si="89"/>
        <v>0</v>
      </c>
      <c r="H314" s="1396"/>
      <c r="I314" s="1413"/>
      <c r="J314" s="1414"/>
      <c r="K314" s="1414"/>
    </row>
    <row r="315" spans="2:11">
      <c r="B315" s="1415" t="str">
        <f>B314 &amp; ".P"</f>
        <v>FFTLN.P</v>
      </c>
      <c r="C315" s="1416" t="s">
        <v>28</v>
      </c>
      <c r="D315" s="1407" t="s">
        <v>29</v>
      </c>
      <c r="E315" s="1408">
        <f>IF(E316=0,0,E314*1000/E316)</f>
        <v>0</v>
      </c>
      <c r="F315" s="1408">
        <f>IF(F316=0,0,F314*1000/F316)</f>
        <v>0</v>
      </c>
      <c r="G315" s="1408">
        <f>IF(G316=0,0,G314*1000/G316)</f>
        <v>0</v>
      </c>
      <c r="H315" s="1396"/>
      <c r="I315" s="1413"/>
      <c r="J315" s="1414"/>
      <c r="K315" s="1414"/>
    </row>
    <row r="316" spans="2:11">
      <c r="B316" s="1415" t="str">
        <f>B314 &amp; ".V"</f>
        <v>FFTLN.V</v>
      </c>
      <c r="C316" s="1416" t="s">
        <v>603</v>
      </c>
      <c r="D316" s="1407" t="s">
        <v>31</v>
      </c>
      <c r="E316" s="1408">
        <f t="shared" ref="E316:G317" si="90">SUMIF($AS$9:$AW$9,E$9,$AS316:$AW316)</f>
        <v>0</v>
      </c>
      <c r="F316" s="1408">
        <f t="shared" si="90"/>
        <v>0</v>
      </c>
      <c r="G316" s="1408">
        <f t="shared" si="90"/>
        <v>0</v>
      </c>
      <c r="H316" s="1396"/>
      <c r="I316" s="1414"/>
      <c r="J316" s="1414"/>
      <c r="K316" s="1414"/>
    </row>
    <row r="317" spans="2:11">
      <c r="B317" s="1410" t="s">
        <v>1744</v>
      </c>
      <c r="C317" s="1412" t="s">
        <v>1745</v>
      </c>
      <c r="D317" s="1407" t="s">
        <v>22</v>
      </c>
      <c r="E317" s="1408">
        <f t="shared" si="90"/>
        <v>0</v>
      </c>
      <c r="F317" s="1408">
        <f t="shared" si="90"/>
        <v>0</v>
      </c>
      <c r="G317" s="1408">
        <f t="shared" si="90"/>
        <v>0</v>
      </c>
      <c r="H317" s="1396"/>
      <c r="I317" s="1413"/>
      <c r="J317" s="1414"/>
      <c r="K317" s="1414"/>
    </row>
    <row r="318" spans="2:11">
      <c r="B318" s="1415" t="str">
        <f>B317 &amp; ".P"</f>
        <v>CL.P</v>
      </c>
      <c r="C318" s="1416" t="s">
        <v>28</v>
      </c>
      <c r="D318" s="1407" t="s">
        <v>29</v>
      </c>
      <c r="E318" s="1408">
        <f>IF(E319=0,0,E317*1000/E319)</f>
        <v>0</v>
      </c>
      <c r="F318" s="1408">
        <f>IF(F319=0,0,F317*1000/F319)</f>
        <v>0</v>
      </c>
      <c r="G318" s="1408">
        <f>IF(G319=0,0,G317*1000/G319)</f>
        <v>0</v>
      </c>
      <c r="H318" s="1396"/>
      <c r="I318" s="1413"/>
      <c r="J318" s="1414"/>
      <c r="K318" s="1414"/>
    </row>
    <row r="319" spans="2:11">
      <c r="B319" s="1415" t="str">
        <f>B317 &amp; ".V"</f>
        <v>CL.V</v>
      </c>
      <c r="C319" s="1416" t="s">
        <v>603</v>
      </c>
      <c r="D319" s="1407" t="s">
        <v>31</v>
      </c>
      <c r="E319" s="1408">
        <f t="shared" ref="E319:G320" si="91">SUMIF($AS$9:$AW$9,E$9,$AS319:$AW319)</f>
        <v>0</v>
      </c>
      <c r="F319" s="1408">
        <f t="shared" si="91"/>
        <v>0</v>
      </c>
      <c r="G319" s="1408">
        <f t="shared" si="91"/>
        <v>0</v>
      </c>
      <c r="H319" s="1396"/>
      <c r="I319" s="1414"/>
      <c r="J319" s="1414"/>
      <c r="K319" s="1414"/>
    </row>
    <row r="320" spans="2:11">
      <c r="B320" s="1410" t="s">
        <v>1746</v>
      </c>
      <c r="C320" s="1412" t="s">
        <v>1747</v>
      </c>
      <c r="D320" s="1407" t="s">
        <v>22</v>
      </c>
      <c r="E320" s="1408">
        <f t="shared" si="91"/>
        <v>0</v>
      </c>
      <c r="F320" s="1408">
        <f t="shared" si="91"/>
        <v>0</v>
      </c>
      <c r="G320" s="1408">
        <f t="shared" si="91"/>
        <v>0</v>
      </c>
      <c r="H320" s="1396"/>
      <c r="I320" s="1413"/>
      <c r="J320" s="1414"/>
      <c r="K320" s="1414"/>
    </row>
    <row r="321" spans="2:11">
      <c r="B321" s="1415" t="str">
        <f>B320 &amp; ".P"</f>
        <v>CLLIQ.P</v>
      </c>
      <c r="C321" s="1416" t="s">
        <v>28</v>
      </c>
      <c r="D321" s="1407" t="s">
        <v>29</v>
      </c>
      <c r="E321" s="1408">
        <f>IF(E322=0,0,E320*1000/E322)</f>
        <v>0</v>
      </c>
      <c r="F321" s="1408">
        <f>IF(F322=0,0,F320*1000/F322)</f>
        <v>0</v>
      </c>
      <c r="G321" s="1408">
        <f>IF(G322=0,0,G320*1000/G322)</f>
        <v>0</v>
      </c>
      <c r="H321" s="1396"/>
      <c r="I321" s="1413"/>
      <c r="J321" s="1414"/>
      <c r="K321" s="1414"/>
    </row>
    <row r="322" spans="2:11">
      <c r="B322" s="1415" t="str">
        <f>B320 &amp; ".V"</f>
        <v>CLLIQ.V</v>
      </c>
      <c r="C322" s="1416" t="s">
        <v>603</v>
      </c>
      <c r="D322" s="1407" t="s">
        <v>31</v>
      </c>
      <c r="E322" s="1408">
        <f t="shared" ref="E322:G323" si="92">SUMIF($AS$9:$AW$9,E$9,$AS322:$AW322)</f>
        <v>0</v>
      </c>
      <c r="F322" s="1408">
        <f t="shared" si="92"/>
        <v>0</v>
      </c>
      <c r="G322" s="1408">
        <f t="shared" si="92"/>
        <v>0</v>
      </c>
      <c r="H322" s="1396"/>
      <c r="I322" s="1414"/>
      <c r="J322" s="1414"/>
      <c r="K322" s="1414"/>
    </row>
    <row r="323" spans="2:11">
      <c r="B323" s="1410" t="s">
        <v>1748</v>
      </c>
      <c r="C323" s="1412" t="s">
        <v>1749</v>
      </c>
      <c r="D323" s="1407" t="s">
        <v>22</v>
      </c>
      <c r="E323" s="1408">
        <f t="shared" si="92"/>
        <v>0</v>
      </c>
      <c r="F323" s="1408">
        <f t="shared" si="92"/>
        <v>0</v>
      </c>
      <c r="G323" s="1408">
        <f t="shared" si="92"/>
        <v>0</v>
      </c>
      <c r="H323" s="1396"/>
      <c r="I323" s="1413"/>
      <c r="J323" s="1414"/>
      <c r="K323" s="1414"/>
    </row>
    <row r="324" spans="2:11">
      <c r="B324" s="1415" t="str">
        <f>B323 &amp; ".P"</f>
        <v>CLAMN.P</v>
      </c>
      <c r="C324" s="1416" t="s">
        <v>28</v>
      </c>
      <c r="D324" s="1407" t="s">
        <v>29</v>
      </c>
      <c r="E324" s="1408">
        <f>IF(E325=0,0,E323*1000/E325)</f>
        <v>0</v>
      </c>
      <c r="F324" s="1408">
        <f>IF(F325=0,0,F323*1000/F325)</f>
        <v>0</v>
      </c>
      <c r="G324" s="1408">
        <f>IF(G325=0,0,G323*1000/G325)</f>
        <v>0</v>
      </c>
      <c r="H324" s="1396"/>
      <c r="I324" s="1413"/>
      <c r="J324" s="1414"/>
      <c r="K324" s="1414"/>
    </row>
    <row r="325" spans="2:11">
      <c r="B325" s="1415" t="str">
        <f>B323 &amp; ".V"</f>
        <v>CLAMN.V</v>
      </c>
      <c r="C325" s="1416" t="s">
        <v>603</v>
      </c>
      <c r="D325" s="1407" t="s">
        <v>31</v>
      </c>
      <c r="E325" s="1408">
        <f t="shared" ref="E325:G326" si="93">SUMIF($AS$9:$AW$9,E$9,$AS325:$AW325)</f>
        <v>0</v>
      </c>
      <c r="F325" s="1408">
        <f t="shared" si="93"/>
        <v>0</v>
      </c>
      <c r="G325" s="1408">
        <f t="shared" si="93"/>
        <v>0</v>
      </c>
      <c r="H325" s="1396"/>
      <c r="I325" s="1414"/>
      <c r="J325" s="1414"/>
      <c r="K325" s="1414"/>
    </row>
    <row r="326" spans="2:11">
      <c r="B326" s="1410" t="s">
        <v>1750</v>
      </c>
      <c r="C326" s="1412" t="s">
        <v>1751</v>
      </c>
      <c r="D326" s="1407" t="s">
        <v>22</v>
      </c>
      <c r="E326" s="1408">
        <f t="shared" si="93"/>
        <v>0</v>
      </c>
      <c r="F326" s="1408">
        <f t="shared" si="93"/>
        <v>0</v>
      </c>
      <c r="G326" s="1408">
        <f t="shared" si="93"/>
        <v>0</v>
      </c>
      <c r="H326" s="1396"/>
      <c r="I326" s="1413"/>
      <c r="J326" s="1414"/>
      <c r="K326" s="1414"/>
    </row>
    <row r="327" spans="2:11">
      <c r="B327" s="1415" t="str">
        <f>B326 &amp; ".P"</f>
        <v>CLFRM.P</v>
      </c>
      <c r="C327" s="1416" t="s">
        <v>28</v>
      </c>
      <c r="D327" s="1407" t="s">
        <v>29</v>
      </c>
      <c r="E327" s="1408">
        <f>IF(E328=0,0,E326*1000/E328)</f>
        <v>0</v>
      </c>
      <c r="F327" s="1408">
        <f>IF(F328=0,0,F326*1000/F328)</f>
        <v>0</v>
      </c>
      <c r="G327" s="1408">
        <f>IF(G328=0,0,G326*1000/G328)</f>
        <v>0</v>
      </c>
      <c r="H327" s="1396"/>
      <c r="I327" s="1413"/>
      <c r="J327" s="1414"/>
      <c r="K327" s="1414"/>
    </row>
    <row r="328" spans="2:11">
      <c r="B328" s="1415" t="str">
        <f>B326 &amp; ".V"</f>
        <v>CLFRM.V</v>
      </c>
      <c r="C328" s="1416" t="s">
        <v>603</v>
      </c>
      <c r="D328" s="1407" t="s">
        <v>31</v>
      </c>
      <c r="E328" s="1408">
        <f t="shared" ref="E328:G329" si="94">SUMIF($AS$9:$AW$9,E$9,$AS328:$AW328)</f>
        <v>0</v>
      </c>
      <c r="F328" s="1408">
        <f t="shared" si="94"/>
        <v>0</v>
      </c>
      <c r="G328" s="1408">
        <f t="shared" si="94"/>
        <v>0</v>
      </c>
      <c r="H328" s="1396"/>
      <c r="I328" s="1414"/>
      <c r="J328" s="1414"/>
      <c r="K328" s="1414"/>
    </row>
    <row r="329" spans="2:11">
      <c r="B329" s="1410" t="s">
        <v>1752</v>
      </c>
      <c r="C329" s="1412" t="s">
        <v>1753</v>
      </c>
      <c r="D329" s="1407" t="s">
        <v>22</v>
      </c>
      <c r="E329" s="1408">
        <f t="shared" si="94"/>
        <v>0</v>
      </c>
      <c r="F329" s="1408">
        <f t="shared" si="94"/>
        <v>0</v>
      </c>
      <c r="G329" s="1408">
        <f t="shared" si="94"/>
        <v>0</v>
      </c>
      <c r="H329" s="1396"/>
      <c r="I329" s="1413"/>
      <c r="J329" s="1414"/>
      <c r="K329" s="1414"/>
    </row>
    <row r="330" spans="2:11">
      <c r="B330" s="1415" t="str">
        <f>B329 &amp; ".P"</f>
        <v>ETHL.P</v>
      </c>
      <c r="C330" s="1416" t="s">
        <v>28</v>
      </c>
      <c r="D330" s="1407" t="s">
        <v>29</v>
      </c>
      <c r="E330" s="1408">
        <f>IF(E331=0,0,E329*1000/E331)</f>
        <v>0</v>
      </c>
      <c r="F330" s="1408">
        <f>IF(F331=0,0,F329*1000/F331)</f>
        <v>0</v>
      </c>
      <c r="G330" s="1408">
        <f>IF(G331=0,0,G329*1000/G331)</f>
        <v>0</v>
      </c>
      <c r="H330" s="1396"/>
      <c r="I330" s="1413"/>
      <c r="J330" s="1414"/>
      <c r="K330" s="1414"/>
    </row>
    <row r="331" spans="2:11">
      <c r="B331" s="1415" t="str">
        <f>B329 &amp; ".V"</f>
        <v>ETHL.V</v>
      </c>
      <c r="C331" s="1416" t="s">
        <v>603</v>
      </c>
      <c r="D331" s="1407" t="s">
        <v>31</v>
      </c>
      <c r="E331" s="1408">
        <f t="shared" ref="E331:G332" si="95">SUMIF($AS$9:$AW$9,E$9,$AS331:$AW331)</f>
        <v>0</v>
      </c>
      <c r="F331" s="1408">
        <f t="shared" si="95"/>
        <v>0</v>
      </c>
      <c r="G331" s="1408">
        <f t="shared" si="95"/>
        <v>0</v>
      </c>
      <c r="H331" s="1396"/>
      <c r="I331" s="1414"/>
      <c r="J331" s="1414"/>
      <c r="K331" s="1414"/>
    </row>
    <row r="332" spans="2:11">
      <c r="B332" s="1420" t="s">
        <v>1569</v>
      </c>
      <c r="C332" s="1421" t="s">
        <v>515</v>
      </c>
      <c r="D332" s="1422" t="s">
        <v>22</v>
      </c>
      <c r="E332" s="1423">
        <f t="shared" si="95"/>
        <v>0</v>
      </c>
      <c r="F332" s="1423">
        <f t="shared" si="95"/>
        <v>0</v>
      </c>
      <c r="G332" s="1423">
        <f t="shared" si="95"/>
        <v>0</v>
      </c>
      <c r="H332" s="1396"/>
      <c r="I332" s="1413"/>
      <c r="J332" s="1414"/>
      <c r="K332" s="1414"/>
    </row>
    <row r="333" spans="2:11">
      <c r="B333" s="1400"/>
      <c r="C333" s="1401"/>
      <c r="D333" s="1424"/>
      <c r="E333" s="1403"/>
      <c r="F333" s="1403"/>
      <c r="G333" s="1403"/>
      <c r="H333" s="1425"/>
      <c r="I333" s="1426"/>
      <c r="J333" s="1426"/>
      <c r="K333" s="1426"/>
    </row>
    <row r="334" spans="2:11">
      <c r="B334" s="1400"/>
      <c r="C334" s="1401"/>
      <c r="D334" s="1424"/>
      <c r="E334" s="1403"/>
      <c r="F334" s="1403"/>
      <c r="G334" s="1403"/>
      <c r="H334" s="1425"/>
      <c r="I334" s="1404"/>
      <c r="J334" s="1404"/>
      <c r="K334" s="1404"/>
    </row>
    <row r="335" spans="2:11">
      <c r="B335" s="1410" t="s">
        <v>1569</v>
      </c>
      <c r="C335" s="1411" t="s">
        <v>195</v>
      </c>
      <c r="D335" s="1427" t="s">
        <v>22</v>
      </c>
      <c r="E335" s="1408">
        <f>SUMIF($AS$9:$AW$9,E$9,$AS335:$AW335)</f>
        <v>0</v>
      </c>
      <c r="F335" s="1408">
        <f>SUMIF($AS$9:$AW$9,F$9,$AS335:$AW335)</f>
        <v>0</v>
      </c>
      <c r="G335" s="1408">
        <f>SUMIF($AS$9:$AW$9,G$9,$AS335:$AW335)</f>
        <v>0</v>
      </c>
      <c r="H335" s="1425"/>
      <c r="I335" s="1408">
        <f>J335+K335</f>
        <v>44.730000000000004</v>
      </c>
      <c r="J335" s="1419">
        <v>19.309999999999999</v>
      </c>
      <c r="K335" s="1419">
        <v>25.42</v>
      </c>
    </row>
    <row r="336" spans="2:11">
      <c r="B336" s="1400"/>
      <c r="C336" s="1401"/>
      <c r="D336" s="1424"/>
      <c r="E336" s="1403"/>
      <c r="F336" s="1403"/>
      <c r="G336" s="1403"/>
      <c r="H336" s="1425"/>
      <c r="I336" s="1426"/>
      <c r="J336" s="1426"/>
      <c r="K336" s="1426"/>
    </row>
    <row r="337" spans="2:11">
      <c r="B337" s="1428" t="s">
        <v>1754</v>
      </c>
      <c r="C337" s="1429" t="s">
        <v>1755</v>
      </c>
      <c r="D337" s="1427" t="s">
        <v>139</v>
      </c>
      <c r="E337" s="1430"/>
      <c r="F337" s="1430"/>
      <c r="G337" s="1430"/>
      <c r="H337" s="1431"/>
      <c r="I337" s="1413" t="e">
        <f>SUMIF([10]РО!$AS$15:$AW$15,I$15,[10]РО!$AS$240:$AW$240)</f>
        <v>#VALUE!</v>
      </c>
      <c r="J337" s="1413" t="e">
        <f>SUMIF([10]РО!$AS$15:$AW$15,J$15,[10]РО!$AS$240:$AW$240)</f>
        <v>#VALUE!</v>
      </c>
      <c r="K337" s="1413" t="e">
        <f>SUMIF([10]РО!$AS$15:$AW$15,K$15,[10]РО!$AS$240:$AW$240)</f>
        <v>#VALUE!</v>
      </c>
    </row>
    <row r="338" spans="2:11">
      <c r="B338" s="1400"/>
      <c r="C338" s="1401"/>
      <c r="D338" s="1424"/>
      <c r="E338" s="1403"/>
      <c r="F338" s="1403"/>
      <c r="G338" s="1403"/>
      <c r="H338" s="1425"/>
      <c r="I338" s="1404"/>
      <c r="J338" s="1404"/>
      <c r="K338" s="1404"/>
    </row>
  </sheetData>
  <mergeCells count="12">
    <mergeCell ref="I10:K10"/>
    <mergeCell ref="I11:K11"/>
    <mergeCell ref="B2:C3"/>
    <mergeCell ref="E3:G3"/>
    <mergeCell ref="I3:K3"/>
    <mergeCell ref="I7:K7"/>
    <mergeCell ref="B8:B9"/>
    <mergeCell ref="C8:C9"/>
    <mergeCell ref="D8:D9"/>
    <mergeCell ref="E8:G9"/>
    <mergeCell ref="I8:K8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17" workbookViewId="0">
      <selection activeCell="L35" sqref="L35"/>
    </sheetView>
  </sheetViews>
  <sheetFormatPr defaultColWidth="8.85546875" defaultRowHeight="15"/>
  <cols>
    <col min="1" max="1" width="12.140625" customWidth="1"/>
    <col min="2" max="2" width="15.85546875" customWidth="1"/>
    <col min="3" max="3" width="18.140625" customWidth="1"/>
    <col min="4" max="4" width="20.140625" customWidth="1"/>
    <col min="5" max="5" width="15.85546875" customWidth="1"/>
    <col min="6" max="6" width="20.85546875" customWidth="1"/>
    <col min="7" max="7" width="13" hidden="1" customWidth="1"/>
    <col min="8" max="8" width="12" hidden="1" customWidth="1"/>
    <col min="9" max="9" width="17.42578125" customWidth="1"/>
    <col min="10" max="12" width="12.7109375" bestFit="1" customWidth="1"/>
  </cols>
  <sheetData>
    <row r="2" spans="1:16" ht="16.5" hidden="1">
      <c r="A2" s="407" t="s">
        <v>1268</v>
      </c>
      <c r="B2" s="407"/>
      <c r="C2" s="407"/>
      <c r="D2" s="407"/>
      <c r="E2" s="407"/>
      <c r="F2" s="407"/>
    </row>
    <row r="3" spans="1:16" ht="66" hidden="1">
      <c r="A3" s="408"/>
      <c r="B3" s="409" t="s">
        <v>884</v>
      </c>
      <c r="C3" s="409" t="s">
        <v>885</v>
      </c>
      <c r="D3" s="410" t="s">
        <v>542</v>
      </c>
      <c r="E3" s="411" t="s">
        <v>886</v>
      </c>
      <c r="F3" s="412" t="s">
        <v>887</v>
      </c>
    </row>
    <row r="4" spans="1:16" ht="16.5" hidden="1">
      <c r="A4" s="413" t="s">
        <v>697</v>
      </c>
      <c r="B4" s="413">
        <v>40987.57</v>
      </c>
      <c r="C4" s="413">
        <v>36106.269999999997</v>
      </c>
      <c r="D4" s="413">
        <f>B4-C4</f>
        <v>4881.3000000000029</v>
      </c>
      <c r="E4" s="413">
        <f>20.52</f>
        <v>20.52</v>
      </c>
      <c r="F4" s="413">
        <f>D4*E4</f>
        <v>100164.27600000006</v>
      </c>
      <c r="H4" s="733"/>
      <c r="I4" s="733"/>
    </row>
    <row r="5" spans="1:16" ht="16.5" hidden="1">
      <c r="A5" s="413" t="s">
        <v>698</v>
      </c>
      <c r="B5" s="413">
        <v>54662.45</v>
      </c>
      <c r="C5" s="413">
        <v>34511.879999999997</v>
      </c>
      <c r="D5" s="413">
        <f>B5-C5</f>
        <v>20150.57</v>
      </c>
      <c r="E5" s="413">
        <f>(16.56+16.58)/2</f>
        <v>16.57</v>
      </c>
      <c r="F5" s="413">
        <f>D5*E5</f>
        <v>333894.9449</v>
      </c>
    </row>
    <row r="6" spans="1:16" ht="16.5" hidden="1">
      <c r="A6" s="414" t="s">
        <v>858</v>
      </c>
      <c r="B6" s="415">
        <f>SUM(B4:B5)</f>
        <v>95650.01999999999</v>
      </c>
      <c r="C6" s="415">
        <f>SUM(C4:C5)</f>
        <v>70618.149999999994</v>
      </c>
      <c r="D6" s="415">
        <f>SUM(D4:D5)</f>
        <v>25031.870000000003</v>
      </c>
      <c r="E6" s="415"/>
      <c r="F6" s="415">
        <f>SUM(F4:F5)</f>
        <v>434059.22090000007</v>
      </c>
    </row>
    <row r="7" spans="1:16" ht="16.5" hidden="1">
      <c r="A7" s="407"/>
      <c r="B7" s="407"/>
      <c r="C7" s="407"/>
      <c r="D7" s="407"/>
      <c r="E7" s="407"/>
      <c r="F7" s="407"/>
    </row>
    <row r="8" spans="1:16" ht="16.5">
      <c r="A8" s="407"/>
      <c r="B8" s="407"/>
      <c r="C8" s="407"/>
      <c r="D8" s="407"/>
      <c r="E8" s="407"/>
      <c r="F8" s="407"/>
    </row>
    <row r="9" spans="1:16" ht="16.5">
      <c r="A9" s="407"/>
      <c r="B9" s="407"/>
      <c r="C9" s="407"/>
      <c r="D9" s="407"/>
      <c r="E9" s="407"/>
      <c r="F9" s="407"/>
      <c r="P9" s="134"/>
    </row>
    <row r="10" spans="1:16" ht="16.5">
      <c r="A10" s="407"/>
      <c r="B10" s="407"/>
      <c r="C10" s="407"/>
      <c r="D10" s="407"/>
      <c r="E10" s="407"/>
      <c r="F10" s="407"/>
    </row>
    <row r="11" spans="1:16" ht="16.5">
      <c r="A11" s="407"/>
      <c r="B11" s="407"/>
      <c r="C11" s="407"/>
      <c r="D11" s="407"/>
      <c r="E11" s="407"/>
      <c r="F11" s="407"/>
    </row>
    <row r="16" spans="1:16" ht="16.5">
      <c r="A16" s="408" t="s">
        <v>1409</v>
      </c>
      <c r="B16" s="408"/>
      <c r="C16" s="408"/>
      <c r="D16" s="408"/>
      <c r="E16" s="408"/>
      <c r="F16" s="408"/>
      <c r="G16" s="204"/>
      <c r="H16" s="204"/>
      <c r="I16" s="204"/>
      <c r="J16" s="1590" t="s">
        <v>1408</v>
      </c>
      <c r="K16" s="1591"/>
      <c r="L16" s="1591"/>
      <c r="M16" s="1592"/>
    </row>
    <row r="17" spans="1:15" ht="66">
      <c r="A17" s="408"/>
      <c r="B17" s="409" t="s">
        <v>884</v>
      </c>
      <c r="C17" s="409" t="s">
        <v>885</v>
      </c>
      <c r="D17" s="410" t="s">
        <v>542</v>
      </c>
      <c r="E17" s="411" t="s">
        <v>886</v>
      </c>
      <c r="F17" s="412" t="s">
        <v>887</v>
      </c>
      <c r="G17" s="204"/>
      <c r="H17" s="204"/>
      <c r="I17" s="204"/>
      <c r="J17" s="412">
        <v>2020</v>
      </c>
      <c r="K17" s="412">
        <v>2021</v>
      </c>
      <c r="L17" s="412">
        <v>2022</v>
      </c>
      <c r="M17" s="412">
        <v>2023</v>
      </c>
      <c r="O17" s="134"/>
    </row>
    <row r="18" spans="1:15" ht="16.5">
      <c r="A18" s="413" t="s">
        <v>697</v>
      </c>
      <c r="B18" s="413">
        <v>41265.160000000003</v>
      </c>
      <c r="C18" s="413">
        <v>36106.269999999997</v>
      </c>
      <c r="D18" s="413">
        <f>B18-C18</f>
        <v>5158.8900000000067</v>
      </c>
      <c r="E18" s="413">
        <f>20.52</f>
        <v>20.52</v>
      </c>
      <c r="F18" s="413">
        <f>D18*E18</f>
        <v>105860.42280000013</v>
      </c>
      <c r="G18" s="204"/>
      <c r="H18" s="204"/>
      <c r="I18" s="204"/>
      <c r="J18" s="1128">
        <v>33000</v>
      </c>
      <c r="K18" s="1128">
        <v>33000</v>
      </c>
      <c r="L18" s="1128">
        <f>F18-J18-K18</f>
        <v>39860.422800000131</v>
      </c>
      <c r="M18" s="1128"/>
    </row>
    <row r="19" spans="1:15" ht="16.5">
      <c r="A19" s="413" t="s">
        <v>698</v>
      </c>
      <c r="B19" s="1441">
        <v>53901.84</v>
      </c>
      <c r="C19" s="413">
        <v>34511.879999999997</v>
      </c>
      <c r="D19" s="413">
        <f>B19-C19</f>
        <v>19389.96</v>
      </c>
      <c r="E19" s="413">
        <f>(16.56+16.58)/2</f>
        <v>16.57</v>
      </c>
      <c r="F19" s="413">
        <f>D19*E19</f>
        <v>321291.6372</v>
      </c>
      <c r="G19" s="204"/>
      <c r="H19" s="204"/>
      <c r="I19" s="204"/>
      <c r="J19" s="1128">
        <v>100000</v>
      </c>
      <c r="K19" s="1128">
        <v>100000</v>
      </c>
      <c r="L19" s="1128">
        <f>F19-J19-K19</f>
        <v>121291.6372</v>
      </c>
      <c r="M19" s="1128"/>
    </row>
    <row r="20" spans="1:15" ht="16.5">
      <c r="A20" s="414" t="s">
        <v>858</v>
      </c>
      <c r="B20" s="415">
        <f>SUM(B18:B19)</f>
        <v>95167</v>
      </c>
      <c r="C20" s="415">
        <f>SUM(C18:C19)</f>
        <v>70618.149999999994</v>
      </c>
      <c r="D20" s="415">
        <f>SUM(D18:D19)</f>
        <v>24548.850000000006</v>
      </c>
      <c r="E20" s="415"/>
      <c r="F20" s="415">
        <f>SUM(F18:F19)</f>
        <v>427152.06000000011</v>
      </c>
      <c r="G20" s="204"/>
      <c r="H20" s="204"/>
      <c r="I20" s="204"/>
      <c r="J20" s="1128"/>
      <c r="K20" s="1128"/>
      <c r="L20" s="1128"/>
      <c r="M20" s="1128"/>
    </row>
    <row r="21" spans="1:15" ht="16.5">
      <c r="A21" s="407"/>
      <c r="B21" s="407"/>
      <c r="C21" s="407"/>
      <c r="D21" s="407"/>
      <c r="E21" s="407"/>
      <c r="F21" s="407"/>
    </row>
    <row r="22" spans="1:15" ht="16.5">
      <c r="A22" s="407"/>
      <c r="B22" s="407"/>
      <c r="C22" s="407"/>
      <c r="D22" s="407"/>
      <c r="E22" s="407"/>
      <c r="F22" s="407"/>
    </row>
    <row r="23" spans="1:15" ht="16.5">
      <c r="A23" s="407"/>
      <c r="B23" s="407"/>
      <c r="C23" s="407"/>
      <c r="D23" s="407"/>
      <c r="E23" s="407"/>
      <c r="F23" s="407"/>
    </row>
    <row r="24" spans="1:15" ht="16.5">
      <c r="A24" s="407"/>
      <c r="B24" s="407" t="s">
        <v>1216</v>
      </c>
      <c r="C24" s="407"/>
      <c r="D24" s="407"/>
      <c r="E24" s="407" t="s">
        <v>1264</v>
      </c>
      <c r="F24" s="407"/>
    </row>
    <row r="26" spans="1:15">
      <c r="B26" t="s">
        <v>1762</v>
      </c>
    </row>
    <row r="29" spans="1:15">
      <c r="A29" t="s">
        <v>1763</v>
      </c>
      <c r="F29" t="s">
        <v>1764</v>
      </c>
      <c r="J29" t="s">
        <v>1765</v>
      </c>
    </row>
    <row r="31" spans="1:15" ht="18.75">
      <c r="A31" s="1442" t="s">
        <v>697</v>
      </c>
      <c r="B31" s="1443">
        <f>B18</f>
        <v>41265.160000000003</v>
      </c>
      <c r="C31" s="1443">
        <f>C18</f>
        <v>36106.269999999997</v>
      </c>
      <c r="D31" s="1443">
        <f>D18</f>
        <v>5158.8900000000067</v>
      </c>
      <c r="E31" s="1443">
        <f>E18</f>
        <v>20.52</v>
      </c>
      <c r="F31" s="1448">
        <f>'Расчёт ВС методом индексации'!M10</f>
        <v>491760.36</v>
      </c>
      <c r="G31" s="1448">
        <f>'Расчёт ВС методом индексации'!M10</f>
        <v>491760.36</v>
      </c>
      <c r="H31" s="1448">
        <f>'Расчёт ВС методом индексации'!N10</f>
        <v>561661.72901085357</v>
      </c>
      <c r="I31" s="1448">
        <f>'Расчёт ВС методом индексации'!O10</f>
        <v>590363.75774170004</v>
      </c>
      <c r="J31" s="1443">
        <f>I31/C31-F31/B31</f>
        <v>4.4336432694087566</v>
      </c>
      <c r="K31" s="1444">
        <f>J31*C31</f>
        <v>160082.32096895529</v>
      </c>
    </row>
    <row r="32" spans="1:15" ht="18.75">
      <c r="A32" s="1442" t="s">
        <v>698</v>
      </c>
      <c r="B32" s="1442">
        <v>53901.84</v>
      </c>
      <c r="C32" s="1442">
        <v>34511.879999999997</v>
      </c>
      <c r="D32" s="1443">
        <f>D19</f>
        <v>19389.96</v>
      </c>
      <c r="E32" s="1443">
        <f>E19</f>
        <v>16.57</v>
      </c>
      <c r="F32" s="1442">
        <f>365651.08</f>
        <v>365651.08</v>
      </c>
      <c r="G32" s="1442"/>
      <c r="H32" s="1442"/>
      <c r="I32" s="1442">
        <v>414931.97</v>
      </c>
      <c r="J32" s="1442">
        <f>F32/B32-I32/C32</f>
        <v>-5.2392261129091064</v>
      </c>
      <c r="K32" s="1444">
        <f>J32*C32</f>
        <v>-180815.54290158552</v>
      </c>
      <c r="L32" s="1593" t="s">
        <v>1766</v>
      </c>
    </row>
    <row r="33" spans="12:12" ht="27" customHeight="1">
      <c r="L33" s="1593"/>
    </row>
  </sheetData>
  <mergeCells count="2">
    <mergeCell ref="J16:M16"/>
    <mergeCell ref="L32:L33"/>
  </mergeCells>
  <pageMargins left="0.31496062992125984" right="0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Z477"/>
  <sheetViews>
    <sheetView topLeftCell="A435" zoomScale="125" zoomScaleNormal="125" zoomScalePageLayoutView="125" workbookViewId="0">
      <selection activeCell="R447" sqref="R447"/>
    </sheetView>
  </sheetViews>
  <sheetFormatPr defaultColWidth="8.85546875" defaultRowHeight="15" outlineLevelCol="1"/>
  <cols>
    <col min="1" max="1" width="2.28515625" customWidth="1"/>
    <col min="2" max="2" width="10.85546875" style="328" customWidth="1"/>
    <col min="3" max="3" width="28.85546875" customWidth="1"/>
    <col min="4" max="4" width="10.42578125" style="417" customWidth="1"/>
    <col min="5" max="5" width="12.42578125" style="1" hidden="1" customWidth="1"/>
    <col min="6" max="6" width="13.42578125" style="1" hidden="1" customWidth="1"/>
    <col min="7" max="7" width="11.42578125" style="1" hidden="1" customWidth="1"/>
    <col min="8" max="8" width="13.42578125" style="1" hidden="1" customWidth="1"/>
    <col min="9" max="9" width="12.7109375" style="1" hidden="1" customWidth="1"/>
    <col min="10" max="10" width="15" style="1" hidden="1" customWidth="1"/>
    <col min="11" max="11" width="12.42578125" style="1" hidden="1" customWidth="1"/>
    <col min="12" max="12" width="15" style="1" hidden="1" customWidth="1"/>
    <col min="13" max="13" width="14.85546875" style="1" customWidth="1"/>
    <col min="14" max="14" width="13.85546875" style="1" customWidth="1"/>
    <col min="15" max="15" width="14.7109375" style="1" customWidth="1" outlineLevel="1"/>
    <col min="16" max="16" width="13.140625" style="1" customWidth="1" outlineLevel="1"/>
    <col min="17" max="17" width="14.42578125" style="1" customWidth="1" outlineLevel="1"/>
    <col min="18" max="18" width="15" style="1" customWidth="1" outlineLevel="1"/>
    <col min="19" max="19" width="14.7109375" style="1" customWidth="1" outlineLevel="1"/>
    <col min="20" max="20" width="12" style="1" customWidth="1" outlineLevel="1"/>
    <col min="21" max="21" width="14.7109375" style="1" customWidth="1" outlineLevel="1"/>
    <col min="22" max="22" width="12.140625" style="1" customWidth="1" outlineLevel="1"/>
    <col min="24" max="24" width="10.85546875" customWidth="1"/>
  </cols>
  <sheetData>
    <row r="1" spans="2:26">
      <c r="W1" t="s">
        <v>1</v>
      </c>
    </row>
    <row r="2" spans="2:26">
      <c r="D2"/>
      <c r="E2"/>
      <c r="F2"/>
      <c r="G2"/>
      <c r="H2" s="417"/>
      <c r="K2" s="1601" t="s">
        <v>888</v>
      </c>
      <c r="L2" s="1601"/>
      <c r="M2" s="1601"/>
      <c r="N2" s="1601"/>
      <c r="O2" s="1601"/>
      <c r="P2" s="1601"/>
      <c r="W2" s="1"/>
      <c r="X2" s="1"/>
      <c r="Y2" s="1"/>
      <c r="Z2" s="1"/>
    </row>
    <row r="3" spans="2:26">
      <c r="D3"/>
      <c r="E3"/>
      <c r="F3"/>
      <c r="G3"/>
      <c r="H3" s="417"/>
      <c r="K3" s="1601" t="s">
        <v>889</v>
      </c>
      <c r="L3" s="1601"/>
      <c r="M3" s="1601"/>
      <c r="N3" s="1601"/>
      <c r="O3" s="1601"/>
      <c r="P3" s="1601"/>
      <c r="W3" s="1"/>
      <c r="X3" s="1"/>
      <c r="Y3" s="1"/>
      <c r="Z3" s="1"/>
    </row>
    <row r="4" spans="2:26">
      <c r="D4"/>
      <c r="E4"/>
      <c r="F4"/>
      <c r="G4"/>
      <c r="H4" s="417"/>
      <c r="K4" s="418" t="s">
        <v>890</v>
      </c>
      <c r="L4" s="418"/>
      <c r="M4" s="418"/>
      <c r="N4" s="418"/>
      <c r="O4" s="418"/>
      <c r="P4" s="418"/>
      <c r="W4" s="1"/>
      <c r="X4" s="1"/>
      <c r="Y4" s="1"/>
      <c r="Z4" s="1"/>
    </row>
    <row r="5" spans="2:26">
      <c r="D5"/>
      <c r="E5"/>
      <c r="F5"/>
      <c r="G5"/>
      <c r="H5" s="417"/>
      <c r="K5" s="1601" t="s">
        <v>891</v>
      </c>
      <c r="L5" s="1601"/>
      <c r="M5" s="1601"/>
      <c r="N5" s="1601"/>
      <c r="O5" s="1601"/>
      <c r="P5" s="1601"/>
      <c r="W5" s="1"/>
      <c r="X5" s="1"/>
      <c r="Y5" s="1"/>
      <c r="Z5" s="1"/>
    </row>
    <row r="6" spans="2:26" ht="15.75">
      <c r="B6" s="419" t="s">
        <v>1084</v>
      </c>
      <c r="G6" s="418"/>
      <c r="H6" s="418"/>
      <c r="I6" s="418"/>
      <c r="J6" s="418"/>
      <c r="K6" s="418"/>
      <c r="L6" s="418"/>
    </row>
    <row r="7" spans="2:26">
      <c r="G7" s="418"/>
      <c r="H7" s="418"/>
      <c r="I7" s="418">
        <v>1.0296000000000001</v>
      </c>
      <c r="J7" s="418"/>
      <c r="K7" s="418"/>
      <c r="L7" s="418"/>
    </row>
    <row r="8" spans="2:26" ht="15.75">
      <c r="B8" s="419" t="s">
        <v>893</v>
      </c>
      <c r="K8" s="418">
        <v>1.0260499999999999</v>
      </c>
      <c r="M8" s="1">
        <v>1.04</v>
      </c>
      <c r="O8" s="118">
        <v>1.04</v>
      </c>
      <c r="Q8" s="1">
        <v>1.04</v>
      </c>
      <c r="S8" s="1">
        <v>1.04</v>
      </c>
      <c r="U8" s="1">
        <v>1.04</v>
      </c>
    </row>
    <row r="9" spans="2:26" ht="23.45" customHeight="1">
      <c r="B9" s="1597" t="s">
        <v>539</v>
      </c>
      <c r="C9" s="1598" t="s">
        <v>540</v>
      </c>
      <c r="D9" s="1599" t="s">
        <v>541</v>
      </c>
      <c r="E9" s="1596" t="s">
        <v>4</v>
      </c>
      <c r="F9" s="1596"/>
      <c r="G9" s="1596" t="s">
        <v>5</v>
      </c>
      <c r="H9" s="1596"/>
      <c r="I9" s="1596" t="s">
        <v>6</v>
      </c>
      <c r="J9" s="1596"/>
      <c r="K9" s="1596" t="s">
        <v>7</v>
      </c>
      <c r="L9" s="1596"/>
      <c r="M9" s="1596" t="s">
        <v>1382</v>
      </c>
      <c r="N9" s="1596"/>
      <c r="O9" s="1596" t="s">
        <v>9</v>
      </c>
      <c r="P9" s="1596"/>
      <c r="Q9" s="1596" t="s">
        <v>10</v>
      </c>
      <c r="R9" s="1596"/>
      <c r="S9" s="1596" t="s">
        <v>11</v>
      </c>
      <c r="T9" s="1596"/>
      <c r="U9" s="1596" t="s">
        <v>12</v>
      </c>
      <c r="V9" s="1596"/>
    </row>
    <row r="10" spans="2:26" ht="41.1" customHeight="1">
      <c r="B10" s="1597"/>
      <c r="C10" s="1598"/>
      <c r="D10" s="1599"/>
      <c r="E10" s="149" t="s">
        <v>13</v>
      </c>
      <c r="F10" s="150" t="s">
        <v>14</v>
      </c>
      <c r="G10" s="149" t="s">
        <v>13</v>
      </c>
      <c r="H10" s="150" t="s">
        <v>14</v>
      </c>
      <c r="I10" s="149" t="s">
        <v>13</v>
      </c>
      <c r="J10" s="150" t="s">
        <v>14</v>
      </c>
      <c r="K10" s="149" t="s">
        <v>13</v>
      </c>
      <c r="L10" s="150" t="s">
        <v>14</v>
      </c>
      <c r="M10" s="149" t="s">
        <v>1361</v>
      </c>
      <c r="N10" s="150" t="s">
        <v>17</v>
      </c>
      <c r="O10" s="149" t="s">
        <v>16</v>
      </c>
      <c r="P10" s="150" t="s">
        <v>17</v>
      </c>
      <c r="Q10" s="149" t="s">
        <v>16</v>
      </c>
      <c r="R10" s="150" t="s">
        <v>17</v>
      </c>
      <c r="S10" s="149" t="s">
        <v>16</v>
      </c>
      <c r="T10" s="150" t="s">
        <v>17</v>
      </c>
      <c r="U10" s="149" t="s">
        <v>16</v>
      </c>
      <c r="V10" s="150" t="s">
        <v>17</v>
      </c>
    </row>
    <row r="11" spans="2:26">
      <c r="B11" s="155">
        <v>1</v>
      </c>
      <c r="C11" s="155">
        <v>2</v>
      </c>
      <c r="D11" s="155">
        <v>3</v>
      </c>
      <c r="E11" s="155">
        <v>4</v>
      </c>
      <c r="F11" s="155">
        <v>5</v>
      </c>
      <c r="G11" s="155">
        <v>6</v>
      </c>
      <c r="H11" s="155">
        <v>7</v>
      </c>
      <c r="I11" s="155">
        <v>8</v>
      </c>
      <c r="J11" s="155">
        <v>9</v>
      </c>
      <c r="K11" s="155">
        <v>10</v>
      </c>
      <c r="L11" s="155">
        <v>11</v>
      </c>
      <c r="M11" s="155">
        <v>12</v>
      </c>
      <c r="N11" s="155">
        <v>13</v>
      </c>
      <c r="O11" s="155">
        <v>14</v>
      </c>
      <c r="P11" s="155">
        <v>15</v>
      </c>
      <c r="Q11" s="155">
        <v>16</v>
      </c>
      <c r="R11" s="155">
        <v>17</v>
      </c>
      <c r="S11" s="155">
        <v>18</v>
      </c>
      <c r="T11" s="155">
        <v>19</v>
      </c>
      <c r="U11" s="155">
        <v>20</v>
      </c>
      <c r="V11" s="155">
        <v>21</v>
      </c>
    </row>
    <row r="12" spans="2:26">
      <c r="B12" s="441" t="s">
        <v>803</v>
      </c>
      <c r="C12" s="159" t="s">
        <v>894</v>
      </c>
      <c r="D12" s="420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</row>
    <row r="13" spans="2:26">
      <c r="B13" s="428" t="s">
        <v>24</v>
      </c>
      <c r="C13" s="164" t="s">
        <v>1085</v>
      </c>
      <c r="D13" s="27" t="s">
        <v>22</v>
      </c>
      <c r="E13" s="286">
        <f>E14*E15</f>
        <v>269.23</v>
      </c>
      <c r="F13" s="286">
        <f>F14*F15</f>
        <v>221.12</v>
      </c>
      <c r="G13" s="286">
        <f t="shared" ref="G13:N13" si="0">G14*G15</f>
        <v>253.79</v>
      </c>
      <c r="H13" s="286">
        <f t="shared" si="0"/>
        <v>205.27</v>
      </c>
      <c r="I13" s="286">
        <f t="shared" si="0"/>
        <v>261.30218400000001</v>
      </c>
      <c r="J13" s="286">
        <f t="shared" si="0"/>
        <v>302.24694973999993</v>
      </c>
      <c r="K13" s="286">
        <f t="shared" si="0"/>
        <v>268.10910589320002</v>
      </c>
      <c r="L13" s="286">
        <f t="shared" si="0"/>
        <v>610.017453918</v>
      </c>
      <c r="M13" s="286">
        <f>M14*M15/1000</f>
        <v>545.56960152600004</v>
      </c>
      <c r="N13" s="286">
        <f t="shared" si="0"/>
        <v>0</v>
      </c>
      <c r="O13" s="286">
        <f>O14*O15/1000</f>
        <v>429.49924920000001</v>
      </c>
      <c r="P13" s="286">
        <f t="shared" ref="P13:V13" si="1">P14*P15/1000</f>
        <v>0</v>
      </c>
      <c r="Q13" s="286">
        <f>Q14*Q15/1000</f>
        <v>583.32446163500003</v>
      </c>
      <c r="R13" s="286">
        <f t="shared" si="1"/>
        <v>0</v>
      </c>
      <c r="S13" s="286">
        <f>S14*S15/1000</f>
        <v>594.32612370299989</v>
      </c>
      <c r="T13" s="286">
        <f t="shared" si="1"/>
        <v>0</v>
      </c>
      <c r="U13" s="286">
        <f>U14*U15/1000</f>
        <v>605.55714149999994</v>
      </c>
      <c r="V13" s="286">
        <f t="shared" si="1"/>
        <v>0</v>
      </c>
    </row>
    <row r="14" spans="2:26">
      <c r="B14" s="428" t="s">
        <v>26</v>
      </c>
      <c r="C14" s="24" t="s">
        <v>28</v>
      </c>
      <c r="D14" s="27" t="s">
        <v>1086</v>
      </c>
      <c r="E14" s="422">
        <f>269.23/15.248</f>
        <v>17.656741867785939</v>
      </c>
      <c r="F14" s="422">
        <f>221.12/13.162</f>
        <v>16.799878437927365</v>
      </c>
      <c r="G14" s="422">
        <f>253.79/14.724</f>
        <v>17.236484650910079</v>
      </c>
      <c r="H14" s="422">
        <f>205.27/12.327</f>
        <v>16.652064573700009</v>
      </c>
      <c r="I14" s="422">
        <f>G14*I7</f>
        <v>17.746684596577019</v>
      </c>
      <c r="J14" s="422">
        <v>17.440677999999998</v>
      </c>
      <c r="K14" s="422">
        <f>I14*K8</f>
        <v>18.208985730317849</v>
      </c>
      <c r="L14" s="422">
        <v>18.969974000000001</v>
      </c>
      <c r="M14" s="422">
        <v>20480.877</v>
      </c>
      <c r="N14" s="422"/>
      <c r="O14" s="422">
        <v>21300.3</v>
      </c>
      <c r="P14" s="422"/>
      <c r="Q14" s="422">
        <f>21.726115*1000</f>
        <v>21726.115000000002</v>
      </c>
      <c r="R14" s="422"/>
      <c r="S14" s="422">
        <v>22160.636999999999</v>
      </c>
      <c r="T14" s="422"/>
      <c r="U14" s="422">
        <v>22603.85</v>
      </c>
      <c r="V14" s="422"/>
    </row>
    <row r="15" spans="2:26" ht="21">
      <c r="B15" s="428" t="s">
        <v>896</v>
      </c>
      <c r="C15" s="24" t="s">
        <v>30</v>
      </c>
      <c r="D15" s="27" t="s">
        <v>897</v>
      </c>
      <c r="E15" s="422">
        <v>15.247999999999999</v>
      </c>
      <c r="F15" s="422">
        <v>13.162000000000001</v>
      </c>
      <c r="G15" s="422">
        <v>14.724</v>
      </c>
      <c r="H15" s="422">
        <v>12.327</v>
      </c>
      <c r="I15" s="422">
        <f>G15</f>
        <v>14.724</v>
      </c>
      <c r="J15" s="422">
        <v>17.329999999999998</v>
      </c>
      <c r="K15" s="422">
        <f>I15</f>
        <v>14.724</v>
      </c>
      <c r="L15" s="422">
        <v>32.156999999999996</v>
      </c>
      <c r="M15" s="422">
        <v>26.638000000000002</v>
      </c>
      <c r="N15" s="422"/>
      <c r="O15" s="422">
        <v>20.164000000000001</v>
      </c>
      <c r="P15" s="422"/>
      <c r="Q15" s="422">
        <v>26.849</v>
      </c>
      <c r="R15" s="422"/>
      <c r="S15" s="422">
        <v>26.818999999999999</v>
      </c>
      <c r="T15" s="422"/>
      <c r="U15" s="422">
        <v>26.79</v>
      </c>
      <c r="V15" s="422"/>
    </row>
    <row r="16" spans="2:26" ht="21">
      <c r="B16" s="428"/>
      <c r="C16" s="473" t="s">
        <v>1087</v>
      </c>
      <c r="D16" s="27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</row>
    <row r="17" spans="2:24">
      <c r="B17" s="428" t="s">
        <v>37</v>
      </c>
      <c r="C17" s="164" t="s">
        <v>1400</v>
      </c>
      <c r="D17" s="27" t="s">
        <v>22</v>
      </c>
      <c r="E17" s="286">
        <f>E18*E19/1000</f>
        <v>0</v>
      </c>
      <c r="F17" s="286">
        <f>F18*F19/1000</f>
        <v>0</v>
      </c>
      <c r="G17" s="286">
        <f>G18*G19/1000</f>
        <v>0</v>
      </c>
      <c r="H17" s="286">
        <f>H18*H19</f>
        <v>9564.0400000000009</v>
      </c>
      <c r="I17" s="286">
        <f>I18*I19/1000</f>
        <v>0</v>
      </c>
      <c r="J17" s="286">
        <f>J18*J19</f>
        <v>24742.920499999997</v>
      </c>
      <c r="K17" s="286">
        <f>K18*K19</f>
        <v>0</v>
      </c>
      <c r="L17" s="286">
        <f>L18*L19</f>
        <v>18306.799749999998</v>
      </c>
      <c r="M17" s="286">
        <f>M18*M19/1000</f>
        <v>21508.755000000001</v>
      </c>
      <c r="N17" s="286">
        <f>'К ВС'!N324</f>
        <v>125555.68150020801</v>
      </c>
      <c r="O17" s="286">
        <f>O18*O19/1000</f>
        <v>55862.798732000003</v>
      </c>
      <c r="P17" s="286">
        <f>P18*P19/1000</f>
        <v>0</v>
      </c>
      <c r="Q17" s="286">
        <f>Q18*Q19/1000+0.42</f>
        <v>67346.817008640006</v>
      </c>
      <c r="R17" s="286">
        <f>R18*R19/1000</f>
        <v>0</v>
      </c>
      <c r="S17" s="286">
        <f>S18*S19/1000</f>
        <v>68638.613802136009</v>
      </c>
      <c r="T17" s="286">
        <f>T18*T19/1000</f>
        <v>0</v>
      </c>
      <c r="U17" s="286">
        <f>U18*U19/1000</f>
        <v>69810.522759008003</v>
      </c>
      <c r="V17" s="286">
        <f>V18*V19/1000</f>
        <v>0</v>
      </c>
      <c r="W17" s="1594" t="s">
        <v>1401</v>
      </c>
      <c r="X17" s="1595"/>
    </row>
    <row r="18" spans="2:24">
      <c r="B18" s="428" t="s">
        <v>41</v>
      </c>
      <c r="C18" s="24" t="s">
        <v>28</v>
      </c>
      <c r="D18" s="27" t="s">
        <v>1086</v>
      </c>
      <c r="E18" s="422"/>
      <c r="F18" s="422"/>
      <c r="G18" s="422"/>
      <c r="H18" s="422">
        <f>9564.04/596.82</f>
        <v>16.024999162226468</v>
      </c>
      <c r="I18" s="422"/>
      <c r="J18" s="422">
        <v>16.024999999999999</v>
      </c>
      <c r="K18" s="422"/>
      <c r="L18" s="422">
        <v>16.024999999999999</v>
      </c>
      <c r="M18" s="422">
        <v>16025</v>
      </c>
      <c r="N18" s="422"/>
      <c r="O18" s="422">
        <v>16666</v>
      </c>
      <c r="P18" s="422"/>
      <c r="Q18" s="422">
        <v>16999.2</v>
      </c>
      <c r="R18" s="422"/>
      <c r="S18" s="422">
        <v>17339.306</v>
      </c>
      <c r="T18" s="422"/>
      <c r="U18" s="422">
        <v>17686.096000000001</v>
      </c>
      <c r="V18" s="422"/>
      <c r="W18" s="1594"/>
      <c r="X18" s="1595"/>
    </row>
    <row r="19" spans="2:24" ht="21">
      <c r="B19" s="428" t="s">
        <v>899</v>
      </c>
      <c r="C19" s="24" t="s">
        <v>30</v>
      </c>
      <c r="D19" s="27" t="s">
        <v>31</v>
      </c>
      <c r="E19" s="422"/>
      <c r="F19" s="422"/>
      <c r="G19" s="422"/>
      <c r="H19" s="422">
        <v>596.82000000000005</v>
      </c>
      <c r="I19" s="422"/>
      <c r="J19" s="422">
        <v>1544.02</v>
      </c>
      <c r="K19" s="422"/>
      <c r="L19" s="422">
        <v>1142.3900000000001</v>
      </c>
      <c r="M19" s="422">
        <v>1342.2</v>
      </c>
      <c r="N19" s="422"/>
      <c r="O19" s="422">
        <v>3351.902</v>
      </c>
      <c r="P19" s="422"/>
      <c r="Q19" s="422">
        <v>3961.7392</v>
      </c>
      <c r="R19" s="422"/>
      <c r="S19" s="422">
        <v>3958.556</v>
      </c>
      <c r="T19" s="422"/>
      <c r="U19" s="422">
        <v>3947.1979999999999</v>
      </c>
      <c r="V19" s="422"/>
    </row>
    <row r="20" spans="2:24">
      <c r="B20" s="428" t="s">
        <v>143</v>
      </c>
      <c r="C20" s="164" t="s">
        <v>1088</v>
      </c>
      <c r="D20" s="27" t="s">
        <v>22</v>
      </c>
      <c r="E20" s="286">
        <f>E21*E22/1000</f>
        <v>0</v>
      </c>
      <c r="F20" s="286">
        <f t="shared" ref="F20:V20" si="2">F21*F22/1000</f>
        <v>0</v>
      </c>
      <c r="G20" s="286">
        <f t="shared" si="2"/>
        <v>0</v>
      </c>
      <c r="H20" s="286">
        <f>H21*H22</f>
        <v>1867.5</v>
      </c>
      <c r="I20" s="286">
        <f t="shared" si="2"/>
        <v>0</v>
      </c>
      <c r="J20" s="286">
        <f>J21*J22</f>
        <v>3780.3240000000001</v>
      </c>
      <c r="K20" s="286">
        <f>K21*K22</f>
        <v>0</v>
      </c>
      <c r="L20" s="286">
        <f t="shared" si="2"/>
        <v>1889.0291018698999</v>
      </c>
      <c r="M20" s="286">
        <f t="shared" si="2"/>
        <v>0</v>
      </c>
      <c r="N20" s="286">
        <f t="shared" si="2"/>
        <v>0</v>
      </c>
      <c r="O20" s="286">
        <f t="shared" si="2"/>
        <v>0</v>
      </c>
      <c r="P20" s="286">
        <f t="shared" si="2"/>
        <v>0</v>
      </c>
      <c r="Q20" s="286">
        <f t="shared" si="2"/>
        <v>0</v>
      </c>
      <c r="R20" s="286">
        <f t="shared" si="2"/>
        <v>0</v>
      </c>
      <c r="S20" s="286">
        <f t="shared" si="2"/>
        <v>0</v>
      </c>
      <c r="T20" s="286">
        <f t="shared" si="2"/>
        <v>0</v>
      </c>
      <c r="U20" s="286">
        <f>U21*U22/1000</f>
        <v>0</v>
      </c>
      <c r="V20" s="286">
        <f t="shared" si="2"/>
        <v>0</v>
      </c>
    </row>
    <row r="21" spans="2:24">
      <c r="B21" s="428" t="s">
        <v>564</v>
      </c>
      <c r="C21" s="24" t="s">
        <v>28</v>
      </c>
      <c r="D21" s="27" t="s">
        <v>1086</v>
      </c>
      <c r="E21" s="422"/>
      <c r="F21" s="422"/>
      <c r="G21" s="422"/>
      <c r="H21" s="422">
        <f>1867.5/4.15</f>
        <v>449.99999999999994</v>
      </c>
      <c r="I21" s="422"/>
      <c r="J21" s="422">
        <v>426</v>
      </c>
      <c r="K21" s="422"/>
      <c r="L21" s="422">
        <v>368540.70699999999</v>
      </c>
      <c r="M21" s="422"/>
      <c r="N21" s="422"/>
      <c r="O21" s="422"/>
      <c r="P21" s="422"/>
      <c r="Q21" s="422"/>
      <c r="R21" s="422"/>
      <c r="S21" s="422"/>
      <c r="T21" s="422"/>
      <c r="U21" s="422"/>
      <c r="V21" s="422"/>
    </row>
    <row r="22" spans="2:24" ht="21">
      <c r="B22" s="428" t="s">
        <v>901</v>
      </c>
      <c r="C22" s="24" t="s">
        <v>30</v>
      </c>
      <c r="D22" s="27" t="s">
        <v>31</v>
      </c>
      <c r="E22" s="422"/>
      <c r="F22" s="422"/>
      <c r="G22" s="422"/>
      <c r="H22" s="422">
        <v>4.1500000000000004</v>
      </c>
      <c r="I22" s="422"/>
      <c r="J22" s="422">
        <v>8.8740000000000006</v>
      </c>
      <c r="K22" s="422"/>
      <c r="L22" s="422">
        <v>5.1257000000000001</v>
      </c>
      <c r="M22" s="422"/>
      <c r="N22" s="422"/>
      <c r="O22" s="422"/>
      <c r="P22" s="422"/>
      <c r="Q22" s="422"/>
      <c r="R22" s="422"/>
      <c r="S22" s="422"/>
      <c r="T22" s="422"/>
      <c r="U22" s="422"/>
      <c r="V22" s="422"/>
    </row>
    <row r="23" spans="2:24">
      <c r="B23" s="428" t="s">
        <v>144</v>
      </c>
      <c r="C23" s="164" t="s">
        <v>1089</v>
      </c>
      <c r="D23" s="27" t="s">
        <v>22</v>
      </c>
      <c r="E23" s="286">
        <f>E24*E25/1000</f>
        <v>0</v>
      </c>
      <c r="F23" s="286">
        <f t="shared" ref="F23:V23" si="3">F24*F25/1000</f>
        <v>0</v>
      </c>
      <c r="G23" s="286">
        <f t="shared" si="3"/>
        <v>0</v>
      </c>
      <c r="H23" s="286">
        <f>H24*H25</f>
        <v>660.8</v>
      </c>
      <c r="I23" s="286">
        <f t="shared" si="3"/>
        <v>0</v>
      </c>
      <c r="J23" s="286">
        <f>J24*J25</f>
        <v>548</v>
      </c>
      <c r="K23" s="286">
        <f>K24*K25</f>
        <v>0</v>
      </c>
      <c r="L23" s="286">
        <f t="shared" si="3"/>
        <v>251.6</v>
      </c>
      <c r="M23" s="286">
        <f>M24*M25/1000-0.07</f>
        <v>-7.0000000000000007E-2</v>
      </c>
      <c r="N23" s="286">
        <f t="shared" si="3"/>
        <v>0</v>
      </c>
      <c r="O23" s="286">
        <f t="shared" si="3"/>
        <v>0</v>
      </c>
      <c r="P23" s="286">
        <f t="shared" si="3"/>
        <v>0</v>
      </c>
      <c r="Q23" s="286">
        <f t="shared" si="3"/>
        <v>0</v>
      </c>
      <c r="R23" s="286">
        <f t="shared" si="3"/>
        <v>0</v>
      </c>
      <c r="S23" s="286">
        <f t="shared" si="3"/>
        <v>0</v>
      </c>
      <c r="T23" s="286">
        <f t="shared" si="3"/>
        <v>0</v>
      </c>
      <c r="U23" s="286">
        <f>U24*U25/1000</f>
        <v>0</v>
      </c>
      <c r="V23" s="286">
        <f t="shared" si="3"/>
        <v>0</v>
      </c>
    </row>
    <row r="24" spans="2:24">
      <c r="B24" s="428" t="s">
        <v>146</v>
      </c>
      <c r="C24" s="24" t="s">
        <v>28</v>
      </c>
      <c r="D24" s="27" t="s">
        <v>29</v>
      </c>
      <c r="E24" s="422"/>
      <c r="F24" s="422"/>
      <c r="G24" s="422"/>
      <c r="H24" s="422">
        <f>660.8/1.4</f>
        <v>472</v>
      </c>
      <c r="I24" s="422"/>
      <c r="J24" s="422">
        <v>400</v>
      </c>
      <c r="K24" s="422"/>
      <c r="L24" s="422">
        <v>400000</v>
      </c>
      <c r="M24" s="422">
        <v>381998.67099999997</v>
      </c>
      <c r="N24" s="422"/>
      <c r="O24" s="422"/>
      <c r="P24" s="422"/>
      <c r="Q24" s="422"/>
      <c r="R24" s="422"/>
      <c r="S24" s="422"/>
      <c r="T24" s="422"/>
      <c r="U24" s="422"/>
      <c r="V24" s="422"/>
    </row>
    <row r="25" spans="2:24" ht="21">
      <c r="B25" s="428" t="s">
        <v>904</v>
      </c>
      <c r="C25" s="24" t="s">
        <v>30</v>
      </c>
      <c r="D25" s="27" t="s">
        <v>31</v>
      </c>
      <c r="E25" s="422"/>
      <c r="F25" s="422"/>
      <c r="G25" s="422"/>
      <c r="H25" s="422">
        <v>1.4</v>
      </c>
      <c r="I25" s="422"/>
      <c r="J25" s="422">
        <v>1.37</v>
      </c>
      <c r="K25" s="422"/>
      <c r="L25" s="422">
        <v>0.629</v>
      </c>
      <c r="M25" s="422">
        <v>0</v>
      </c>
      <c r="N25" s="422"/>
      <c r="O25" s="422"/>
      <c r="P25" s="422"/>
      <c r="Q25" s="422"/>
      <c r="R25" s="422"/>
      <c r="S25" s="422"/>
      <c r="T25" s="422"/>
      <c r="U25" s="422"/>
      <c r="V25" s="422"/>
    </row>
    <row r="26" spans="2:24">
      <c r="B26" s="428" t="s">
        <v>172</v>
      </c>
      <c r="C26" s="164" t="s">
        <v>1090</v>
      </c>
      <c r="D26" s="27" t="s">
        <v>22</v>
      </c>
      <c r="E26" s="286">
        <f>E27*E28/1000</f>
        <v>0</v>
      </c>
      <c r="F26" s="286">
        <f t="shared" ref="F26:V26" si="4">F27*F28/1000</f>
        <v>0</v>
      </c>
      <c r="G26" s="286">
        <f t="shared" si="4"/>
        <v>0</v>
      </c>
      <c r="H26" s="286">
        <v>1229.98</v>
      </c>
      <c r="I26" s="286">
        <f t="shared" si="4"/>
        <v>0</v>
      </c>
      <c r="J26" s="286">
        <f>J27*J28+0.67</f>
        <v>11302.5249</v>
      </c>
      <c r="K26" s="286">
        <f>K27*K28</f>
        <v>0</v>
      </c>
      <c r="L26" s="286">
        <f>L27*L28</f>
        <v>25356.100000000002</v>
      </c>
      <c r="M26" s="286">
        <f>M27*M28</f>
        <v>24495.305001680001</v>
      </c>
      <c r="N26" s="286">
        <f t="shared" si="4"/>
        <v>0</v>
      </c>
      <c r="O26" s="286">
        <f>O27*O28+0.29</f>
        <v>29219.291360000003</v>
      </c>
      <c r="P26" s="286">
        <f t="shared" si="4"/>
        <v>0</v>
      </c>
      <c r="Q26" s="286">
        <f>Q27*Q28</f>
        <v>39477.206835839999</v>
      </c>
      <c r="R26" s="286">
        <f t="shared" si="4"/>
        <v>0</v>
      </c>
      <c r="S26" s="286">
        <f>S27*S28+42.68</f>
        <v>40180.946437099999</v>
      </c>
      <c r="T26" s="286">
        <f t="shared" si="4"/>
        <v>0</v>
      </c>
      <c r="U26" s="286">
        <f>U27*U28+0.03</f>
        <v>40898.548657500003</v>
      </c>
      <c r="V26" s="286">
        <f t="shared" si="4"/>
        <v>0</v>
      </c>
    </row>
    <row r="27" spans="2:24">
      <c r="B27" s="428" t="s">
        <v>906</v>
      </c>
      <c r="C27" s="24" t="s">
        <v>28</v>
      </c>
      <c r="D27" s="27" t="s">
        <v>1086</v>
      </c>
      <c r="E27" s="422"/>
      <c r="F27" s="422"/>
      <c r="G27" s="422"/>
      <c r="H27" s="422">
        <f>1229.98/1382</f>
        <v>0.89</v>
      </c>
      <c r="I27" s="422"/>
      <c r="J27" s="422">
        <f>890.05/1000</f>
        <v>0.89005000000000001</v>
      </c>
      <c r="K27" s="422"/>
      <c r="L27" s="422">
        <v>0.89</v>
      </c>
      <c r="M27" s="422">
        <v>0.90565600000000002</v>
      </c>
      <c r="N27" s="422"/>
      <c r="O27" s="422">
        <v>0.94188000000000005</v>
      </c>
      <c r="P27" s="422"/>
      <c r="Q27" s="422">
        <v>0.96072000000000002</v>
      </c>
      <c r="R27" s="422"/>
      <c r="S27" s="422">
        <v>0.97889999999999999</v>
      </c>
      <c r="T27" s="422"/>
      <c r="U27" s="422">
        <v>0.99953000000000003</v>
      </c>
      <c r="V27" s="422"/>
    </row>
    <row r="28" spans="2:24" ht="21">
      <c r="B28" s="428" t="s">
        <v>907</v>
      </c>
      <c r="C28" s="24" t="s">
        <v>30</v>
      </c>
      <c r="D28" s="27" t="s">
        <v>31</v>
      </c>
      <c r="E28" s="422"/>
      <c r="F28" s="422"/>
      <c r="G28" s="422"/>
      <c r="H28" s="422">
        <v>1389</v>
      </c>
      <c r="I28" s="422"/>
      <c r="J28" s="422">
        <v>12698</v>
      </c>
      <c r="K28" s="422"/>
      <c r="L28" s="422">
        <v>28490</v>
      </c>
      <c r="M28" s="422">
        <v>27047.03</v>
      </c>
      <c r="N28" s="422"/>
      <c r="O28" s="422">
        <v>31022</v>
      </c>
      <c r="P28" s="422"/>
      <c r="Q28" s="422">
        <v>41091.271999999997</v>
      </c>
      <c r="R28" s="422"/>
      <c r="S28" s="422">
        <v>41003.438999999998</v>
      </c>
      <c r="T28" s="422"/>
      <c r="U28" s="422">
        <v>40917.75</v>
      </c>
      <c r="V28" s="422"/>
    </row>
    <row r="29" spans="2:24">
      <c r="B29" s="428" t="s">
        <v>174</v>
      </c>
      <c r="C29" s="164" t="s">
        <v>1091</v>
      </c>
      <c r="D29" s="27" t="s">
        <v>22</v>
      </c>
      <c r="E29" s="286">
        <f>E30*E31/1000</f>
        <v>0</v>
      </c>
      <c r="F29" s="286">
        <f>F30*F31/1000</f>
        <v>0</v>
      </c>
      <c r="G29" s="286">
        <f>G30*G31/1000</f>
        <v>0</v>
      </c>
      <c r="H29" s="286">
        <f>H30*H31/1000</f>
        <v>0</v>
      </c>
      <c r="I29" s="286">
        <f>I30*I31/1000</f>
        <v>0</v>
      </c>
      <c r="J29" s="286">
        <f>J30*J31</f>
        <v>277.73858059599996</v>
      </c>
      <c r="K29" s="286">
        <f>K30*K31/1000</f>
        <v>0</v>
      </c>
      <c r="L29" s="286">
        <f>L30*L31</f>
        <v>6654.5156342999999</v>
      </c>
      <c r="M29" s="286">
        <f>M30*M31</f>
        <v>0</v>
      </c>
      <c r="N29" s="286">
        <f>N30*N31/1000</f>
        <v>0</v>
      </c>
      <c r="O29" s="286">
        <f>O30*O31</f>
        <v>0</v>
      </c>
      <c r="P29" s="286">
        <f>P30*P31/1000</f>
        <v>0</v>
      </c>
      <c r="Q29" s="286">
        <f>Q30*Q31</f>
        <v>0</v>
      </c>
      <c r="R29" s="286">
        <f>R30*R31/1000</f>
        <v>0</v>
      </c>
      <c r="S29" s="286">
        <f>S30*S31</f>
        <v>0</v>
      </c>
      <c r="T29" s="286">
        <f>T30*T31/1000</f>
        <v>0</v>
      </c>
      <c r="U29" s="286">
        <f>U30*U31</f>
        <v>0</v>
      </c>
      <c r="V29" s="286">
        <f>V30*V31/1000</f>
        <v>0</v>
      </c>
    </row>
    <row r="30" spans="2:24">
      <c r="B30" s="428" t="s">
        <v>909</v>
      </c>
      <c r="C30" s="24" t="s">
        <v>28</v>
      </c>
      <c r="D30" s="27" t="s">
        <v>29</v>
      </c>
      <c r="E30" s="422"/>
      <c r="F30" s="422"/>
      <c r="G30" s="422"/>
      <c r="H30" s="422"/>
      <c r="I30" s="422"/>
      <c r="J30" s="422">
        <f>198101.698/1000</f>
        <v>198.101698</v>
      </c>
      <c r="K30" s="422"/>
      <c r="L30" s="422">
        <v>198.06285</v>
      </c>
      <c r="M30" s="422">
        <f>203448.7/1000</f>
        <v>203.4487</v>
      </c>
      <c r="N30" s="422"/>
      <c r="O30" s="422">
        <f>208941.815/1000</f>
        <v>208.94181499999999</v>
      </c>
      <c r="P30" s="422"/>
      <c r="Q30" s="422">
        <f>214583.244/1000</f>
        <v>214.58324400000001</v>
      </c>
      <c r="R30" s="422"/>
      <c r="S30" s="422">
        <f>220376.991/1000</f>
        <v>220.376991</v>
      </c>
      <c r="T30" s="422"/>
      <c r="U30" s="422">
        <f>226327.17/1000</f>
        <v>226.32717000000002</v>
      </c>
      <c r="V30" s="422"/>
    </row>
    <row r="31" spans="2:24" ht="21">
      <c r="B31" s="428" t="s">
        <v>910</v>
      </c>
      <c r="C31" s="24" t="s">
        <v>30</v>
      </c>
      <c r="D31" s="27" t="s">
        <v>31</v>
      </c>
      <c r="E31" s="422"/>
      <c r="F31" s="422"/>
      <c r="G31" s="422"/>
      <c r="H31" s="422"/>
      <c r="I31" s="422"/>
      <c r="J31" s="422">
        <v>1.4019999999999999</v>
      </c>
      <c r="K31" s="422"/>
      <c r="L31" s="422">
        <v>33.597999999999999</v>
      </c>
      <c r="M31" s="422">
        <v>0</v>
      </c>
      <c r="N31" s="422"/>
      <c r="O31" s="422">
        <v>0</v>
      </c>
      <c r="P31" s="422"/>
      <c r="Q31" s="422">
        <v>0</v>
      </c>
      <c r="R31" s="422"/>
      <c r="S31" s="422">
        <v>0</v>
      </c>
      <c r="T31" s="422"/>
      <c r="U31" s="422">
        <v>0</v>
      </c>
      <c r="V31" s="422"/>
    </row>
    <row r="32" spans="2:24">
      <c r="B32" s="672" t="s">
        <v>176</v>
      </c>
      <c r="C32" s="164" t="s">
        <v>1280</v>
      </c>
      <c r="D32" s="27" t="s">
        <v>22</v>
      </c>
      <c r="E32" s="422"/>
      <c r="F32" s="422"/>
      <c r="G32" s="422"/>
      <c r="H32" s="422"/>
      <c r="I32" s="422"/>
      <c r="J32" s="422"/>
      <c r="K32" s="286">
        <f>K33*K34/1000</f>
        <v>0</v>
      </c>
      <c r="L32" s="286">
        <f>L33*L34</f>
        <v>2597.1878055000002</v>
      </c>
      <c r="M32" s="286">
        <f>M33*M34/1000-0.07</f>
        <v>12025.248131599999</v>
      </c>
      <c r="N32" s="286">
        <f>N33*N34/1000</f>
        <v>0</v>
      </c>
      <c r="O32" s="286">
        <f>O33*O34/1000+0.13</f>
        <v>18880.399136880002</v>
      </c>
      <c r="P32" s="286">
        <f>P33*P34/1000</f>
        <v>0</v>
      </c>
      <c r="Q32" s="286">
        <f>Q33*Q34/1000+0.6-0.48</f>
        <v>25508.577662207997</v>
      </c>
      <c r="R32" s="286">
        <f>R33*R34/1000</f>
        <v>0</v>
      </c>
      <c r="S32" s="286">
        <f>S33*S34-0.36</f>
        <v>25962.838319999995</v>
      </c>
      <c r="T32" s="286">
        <f>T33*T34/1000</f>
        <v>0</v>
      </c>
      <c r="U32" s="286">
        <f>U33*U34</f>
        <v>26426.839385000003</v>
      </c>
      <c r="V32" s="286">
        <f>V33*V34/1000</f>
        <v>0</v>
      </c>
    </row>
    <row r="33" spans="2:22">
      <c r="B33" s="672" t="s">
        <v>178</v>
      </c>
      <c r="C33" s="24" t="s">
        <v>28</v>
      </c>
      <c r="D33" s="27" t="s">
        <v>29</v>
      </c>
      <c r="E33" s="422"/>
      <c r="F33" s="422"/>
      <c r="G33" s="422"/>
      <c r="H33" s="422"/>
      <c r="I33" s="422"/>
      <c r="J33" s="422"/>
      <c r="K33" s="422"/>
      <c r="L33" s="422">
        <v>381.94499999999999</v>
      </c>
      <c r="M33" s="422">
        <v>381998.67</v>
      </c>
      <c r="N33" s="422"/>
      <c r="O33" s="422">
        <v>397278.62</v>
      </c>
      <c r="P33" s="422"/>
      <c r="Q33" s="422">
        <v>405224.19199999998</v>
      </c>
      <c r="R33" s="422"/>
      <c r="S33" s="422">
        <v>413.32799999999997</v>
      </c>
      <c r="T33" s="422"/>
      <c r="U33" s="422">
        <v>421.59500000000003</v>
      </c>
      <c r="V33" s="422"/>
    </row>
    <row r="34" spans="2:22" ht="21">
      <c r="B34" s="672" t="s">
        <v>1279</v>
      </c>
      <c r="C34" s="24" t="s">
        <v>30</v>
      </c>
      <c r="D34" s="27" t="s">
        <v>31</v>
      </c>
      <c r="E34" s="422"/>
      <c r="F34" s="422"/>
      <c r="G34" s="422"/>
      <c r="H34" s="422"/>
      <c r="I34" s="422"/>
      <c r="J34" s="422"/>
      <c r="K34" s="422"/>
      <c r="L34" s="422">
        <v>6.7999000000000001</v>
      </c>
      <c r="M34" s="422">
        <v>31.48</v>
      </c>
      <c r="N34" s="422"/>
      <c r="O34" s="422">
        <v>47.524000000000001</v>
      </c>
      <c r="P34" s="422"/>
      <c r="Q34" s="422">
        <v>62.948999999999998</v>
      </c>
      <c r="R34" s="422"/>
      <c r="S34" s="422">
        <v>62.814999999999998</v>
      </c>
      <c r="T34" s="422"/>
      <c r="U34" s="422">
        <v>62.683</v>
      </c>
      <c r="V34" s="422"/>
    </row>
    <row r="35" spans="2:22" ht="22.5">
      <c r="B35" s="459"/>
      <c r="C35" s="159" t="s">
        <v>1092</v>
      </c>
      <c r="D35" s="424" t="s">
        <v>22</v>
      </c>
      <c r="E35" s="181">
        <f>E13+E17+E20+E23+E26+E29</f>
        <v>269.23</v>
      </c>
      <c r="F35" s="181">
        <f>F13+F17+F20+F23+F26+F29</f>
        <v>221.12</v>
      </c>
      <c r="G35" s="181">
        <f>G13+G17+G20+G23+G26+G29</f>
        <v>253.79</v>
      </c>
      <c r="H35" s="181">
        <f>H13+H17+H20+H23+H26+H29</f>
        <v>13527.59</v>
      </c>
      <c r="I35" s="181">
        <f>I13+I17+I20+I23+I26+I29+I36</f>
        <v>261.30218400000001</v>
      </c>
      <c r="J35" s="181">
        <f>J13+J17+J20+J23+J26+J29</f>
        <v>40953.754930335999</v>
      </c>
      <c r="K35" s="181">
        <f>K13+K17+K20+K23+K26+K29+K36</f>
        <v>268.10910589320002</v>
      </c>
      <c r="L35" s="181">
        <f>L13+L17+L20+L23+L26+L29+L32</f>
        <v>55665.249745587891</v>
      </c>
      <c r="M35" s="181">
        <f>M13+M17+M20+M23+M26+M29+M32+0.12</f>
        <v>58574.927734805999</v>
      </c>
      <c r="N35" s="181">
        <f>'К ВО'!Q10</f>
        <v>105103.39511804</v>
      </c>
      <c r="O35" s="181">
        <f>O13+O17+O20+O23+O26+O29+O32+0.12</f>
        <v>104392.10847808002</v>
      </c>
      <c r="P35" s="181">
        <f>'К ВО'!U10</f>
        <v>107594.34558233756</v>
      </c>
      <c r="Q35" s="181">
        <f>Q13+Q17+Q20+Q23+Q26+Q29+Q32</f>
        <v>132915.92596832299</v>
      </c>
      <c r="R35" s="181">
        <f>'К ВО'!X10</f>
        <v>110139.46982708774</v>
      </c>
      <c r="S35" s="181">
        <f>S13+S17+S20+S23+S26+S29+S32</f>
        <v>135376.72468293901</v>
      </c>
      <c r="T35" s="181">
        <f>T13+T17+T20+T23+T26+T29+T32</f>
        <v>0</v>
      </c>
      <c r="U35" s="181">
        <f>U13+U17+U20+U23+U26+U29+U32+0.3</f>
        <v>137741.76794300799</v>
      </c>
      <c r="V35" s="181">
        <f>V13+V17+V20+V23+V26+V29</f>
        <v>0</v>
      </c>
    </row>
    <row r="36" spans="2:22">
      <c r="B36" s="459"/>
      <c r="C36" s="1093" t="s">
        <v>1093</v>
      </c>
      <c r="D36" s="27"/>
      <c r="E36" s="286"/>
      <c r="F36" s="286"/>
      <c r="G36" s="286"/>
      <c r="H36" s="286">
        <f t="shared" ref="H36:M36" si="5">H17+H20+H23+H26+H29+H32</f>
        <v>13322.32</v>
      </c>
      <c r="I36" s="286">
        <f t="shared" si="5"/>
        <v>0</v>
      </c>
      <c r="J36" s="286">
        <f t="shared" si="5"/>
        <v>40651.507980595998</v>
      </c>
      <c r="K36" s="286">
        <f t="shared" si="5"/>
        <v>0</v>
      </c>
      <c r="L36" s="286">
        <f t="shared" si="5"/>
        <v>55055.23229166989</v>
      </c>
      <c r="M36" s="286">
        <f t="shared" si="5"/>
        <v>58029.23813328</v>
      </c>
      <c r="N36" s="286">
        <f t="shared" ref="N36:U36" si="6">N17+N20+N23+N26+N29+N32</f>
        <v>125555.68150020801</v>
      </c>
      <c r="O36" s="286">
        <f t="shared" si="6"/>
        <v>103962.48922888</v>
      </c>
      <c r="P36" s="286">
        <f t="shared" si="6"/>
        <v>0</v>
      </c>
      <c r="Q36" s="286">
        <f t="shared" si="6"/>
        <v>132332.60150668799</v>
      </c>
      <c r="R36" s="286">
        <f t="shared" si="6"/>
        <v>0</v>
      </c>
      <c r="S36" s="286">
        <f t="shared" si="6"/>
        <v>134782.39855923603</v>
      </c>
      <c r="T36" s="286">
        <f t="shared" si="6"/>
        <v>0</v>
      </c>
      <c r="U36" s="286">
        <f t="shared" si="6"/>
        <v>137135.910801508</v>
      </c>
      <c r="V36" s="286">
        <f>V17+V20+V23+V26+V29+V32</f>
        <v>0</v>
      </c>
    </row>
    <row r="37" spans="2:22" ht="22.5">
      <c r="B37" s="459"/>
      <c r="C37" s="1093" t="s">
        <v>1094</v>
      </c>
      <c r="D37" s="27"/>
      <c r="E37" s="286"/>
      <c r="F37" s="286"/>
      <c r="G37" s="286"/>
      <c r="H37" s="286">
        <f t="shared" ref="H37:M37" si="7">H35-H36</f>
        <v>205.27000000000044</v>
      </c>
      <c r="I37" s="286">
        <f t="shared" si="7"/>
        <v>261.30218400000001</v>
      </c>
      <c r="J37" s="286">
        <f t="shared" si="7"/>
        <v>302.24694974000158</v>
      </c>
      <c r="K37" s="286">
        <f t="shared" si="7"/>
        <v>268.10910589320002</v>
      </c>
      <c r="L37" s="286">
        <f t="shared" si="7"/>
        <v>610.01745391800068</v>
      </c>
      <c r="M37" s="286">
        <f t="shared" si="7"/>
        <v>545.68960152599902</v>
      </c>
      <c r="N37" s="286"/>
      <c r="O37" s="286">
        <f t="shared" ref="O37:V37" si="8">O35-O36</f>
        <v>429.61924920001184</v>
      </c>
      <c r="P37" s="286">
        <f t="shared" si="8"/>
        <v>107594.34558233756</v>
      </c>
      <c r="Q37" s="286">
        <f t="shared" si="8"/>
        <v>583.32446163499844</v>
      </c>
      <c r="R37" s="286">
        <f t="shared" si="8"/>
        <v>110139.46982708774</v>
      </c>
      <c r="S37" s="286">
        <f t="shared" si="8"/>
        <v>594.32612370298011</v>
      </c>
      <c r="T37" s="286">
        <f t="shared" si="8"/>
        <v>0</v>
      </c>
      <c r="U37" s="286">
        <f t="shared" si="8"/>
        <v>605.85714149998967</v>
      </c>
      <c r="V37" s="286">
        <f t="shared" si="8"/>
        <v>0</v>
      </c>
    </row>
    <row r="38" spans="2:22" ht="45">
      <c r="B38" s="458" t="s">
        <v>815</v>
      </c>
      <c r="C38" s="159" t="s">
        <v>927</v>
      </c>
      <c r="D38" s="42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</row>
    <row r="39" spans="2:22">
      <c r="B39" s="428" t="s">
        <v>928</v>
      </c>
      <c r="C39" s="164" t="s">
        <v>1095</v>
      </c>
      <c r="D39" s="27" t="s">
        <v>22</v>
      </c>
      <c r="E39" s="286">
        <f t="shared" ref="E39:O39" si="9">E40*E41/1000</f>
        <v>2543.6165366360001</v>
      </c>
      <c r="F39" s="286">
        <f t="shared" si="9"/>
        <v>4238.7702165000001</v>
      </c>
      <c r="G39" s="286">
        <f t="shared" si="9"/>
        <v>2920.44</v>
      </c>
      <c r="H39" s="286">
        <f t="shared" si="9"/>
        <v>5734.58</v>
      </c>
      <c r="I39" s="286">
        <f t="shared" si="9"/>
        <v>3006.8850240000002</v>
      </c>
      <c r="J39" s="286">
        <f t="shared" si="9"/>
        <v>7798.6642854999991</v>
      </c>
      <c r="K39" s="286">
        <f t="shared" si="9"/>
        <v>3085.2143788752001</v>
      </c>
      <c r="L39" s="286">
        <f t="shared" si="9"/>
        <v>7151.0335980000009</v>
      </c>
      <c r="M39" s="286">
        <f t="shared" si="9"/>
        <v>6203.9200063500002</v>
      </c>
      <c r="N39" s="286">
        <f t="shared" si="9"/>
        <v>0</v>
      </c>
      <c r="O39" s="286">
        <f t="shared" si="9"/>
        <v>7097.2844872644</v>
      </c>
      <c r="P39" s="286">
        <f t="shared" ref="P39:V39" si="10">P40*P41</f>
        <v>0</v>
      </c>
      <c r="Q39" s="286">
        <f>Q40*Q41/1000</f>
        <v>7381.1758667549766</v>
      </c>
      <c r="R39" s="286">
        <f t="shared" si="10"/>
        <v>0</v>
      </c>
      <c r="S39" s="286">
        <f>S40*S41/1000</f>
        <v>7676.422901425176</v>
      </c>
      <c r="T39" s="286">
        <f t="shared" si="10"/>
        <v>0</v>
      </c>
      <c r="U39" s="286">
        <f>U40*U41/1000</f>
        <v>7983.4798174821844</v>
      </c>
      <c r="V39" s="286">
        <f t="shared" si="10"/>
        <v>0</v>
      </c>
    </row>
    <row r="40" spans="2:22">
      <c r="B40" s="428"/>
      <c r="C40" s="24" t="s">
        <v>930</v>
      </c>
      <c r="D40" s="27" t="s">
        <v>931</v>
      </c>
      <c r="E40" s="422">
        <v>28.949200000000001</v>
      </c>
      <c r="F40" s="422">
        <v>29.49</v>
      </c>
      <c r="G40" s="422">
        <f>2920.44/96534.54*1000</f>
        <v>30.25279863559717</v>
      </c>
      <c r="H40" s="422">
        <f>5734.58/186915.77*1000</f>
        <v>30.680022343754089</v>
      </c>
      <c r="I40" s="422">
        <f>G40*I7</f>
        <v>31.148281475210847</v>
      </c>
      <c r="J40" s="422">
        <v>33.549999999999997</v>
      </c>
      <c r="K40" s="422">
        <f>I40*K8</f>
        <v>31.959694207640087</v>
      </c>
      <c r="L40" s="422">
        <v>37.090000000000003</v>
      </c>
      <c r="M40" s="422">
        <v>42.505499999999998</v>
      </c>
      <c r="N40" s="422"/>
      <c r="O40" s="422">
        <f>M40*O8</f>
        <v>44.205719999999999</v>
      </c>
      <c r="P40" s="422"/>
      <c r="Q40" s="422">
        <f>O40*Q8</f>
        <v>45.973948800000002</v>
      </c>
      <c r="R40" s="422"/>
      <c r="S40" s="422">
        <f>Q40*S8</f>
        <v>47.812906752000004</v>
      </c>
      <c r="T40" s="422"/>
      <c r="U40" s="422">
        <f>S40*U8</f>
        <v>49.725423022080008</v>
      </c>
      <c r="V40" s="422"/>
    </row>
    <row r="41" spans="2:22">
      <c r="B41" s="428"/>
      <c r="C41" s="24" t="s">
        <v>932</v>
      </c>
      <c r="D41" s="27" t="s">
        <v>933</v>
      </c>
      <c r="E41" s="422">
        <v>87864.83</v>
      </c>
      <c r="F41" s="422">
        <v>143735.85</v>
      </c>
      <c r="G41" s="422">
        <v>96534.54</v>
      </c>
      <c r="H41" s="422">
        <v>186915.77</v>
      </c>
      <c r="I41" s="422">
        <f>G41</f>
        <v>96534.54</v>
      </c>
      <c r="J41" s="422">
        <v>232449.01</v>
      </c>
      <c r="K41" s="422">
        <f>I41</f>
        <v>96534.54</v>
      </c>
      <c r="L41" s="422">
        <v>192802.2</v>
      </c>
      <c r="M41" s="422">
        <f>(99522.79+46432.9)+0.01</f>
        <v>145955.70000000001</v>
      </c>
      <c r="N41" s="422"/>
      <c r="O41" s="422">
        <f>M41*1.1</f>
        <v>160551.27000000002</v>
      </c>
      <c r="P41" s="422"/>
      <c r="Q41" s="422">
        <f>O41</f>
        <v>160551.27000000002</v>
      </c>
      <c r="R41" s="422"/>
      <c r="S41" s="422">
        <f>Q41</f>
        <v>160551.27000000002</v>
      </c>
      <c r="T41" s="422"/>
      <c r="U41" s="422">
        <f>S41</f>
        <v>160551.27000000002</v>
      </c>
      <c r="V41" s="422"/>
    </row>
    <row r="42" spans="2:22">
      <c r="B42" s="428" t="s">
        <v>202</v>
      </c>
      <c r="C42" s="164" t="s">
        <v>934</v>
      </c>
      <c r="D42" s="27" t="s">
        <v>22</v>
      </c>
      <c r="E42" s="286">
        <f>E43*E44/1000</f>
        <v>2332.14</v>
      </c>
      <c r="F42" s="286">
        <f t="shared" ref="F42:V42" si="11">F43*F44/1000</f>
        <v>2561.84</v>
      </c>
      <c r="G42" s="286">
        <f t="shared" si="11"/>
        <v>2433.0100000000007</v>
      </c>
      <c r="H42" s="286">
        <f t="shared" si="11"/>
        <v>2461.62</v>
      </c>
      <c r="I42" s="286">
        <f t="shared" si="11"/>
        <v>2505.0270960000003</v>
      </c>
      <c r="J42" s="286">
        <f t="shared" si="11"/>
        <v>1904.3625387999998</v>
      </c>
      <c r="K42" s="286">
        <f t="shared" si="11"/>
        <v>2570.2830518508003</v>
      </c>
      <c r="L42" s="286">
        <f t="shared" si="11"/>
        <v>2209.6905105000005</v>
      </c>
      <c r="M42" s="286">
        <f>M43*M44/1000+0.03</f>
        <v>1452.5919170400002</v>
      </c>
      <c r="N42" s="286">
        <f t="shared" si="11"/>
        <v>0</v>
      </c>
      <c r="O42" s="286">
        <f t="shared" si="11"/>
        <v>1510.6643937216002</v>
      </c>
      <c r="P42" s="286">
        <f t="shared" si="11"/>
        <v>0</v>
      </c>
      <c r="Q42" s="286">
        <f t="shared" si="11"/>
        <v>1571.0909694704642</v>
      </c>
      <c r="R42" s="286">
        <f t="shared" si="11"/>
        <v>0</v>
      </c>
      <c r="S42" s="286">
        <f t="shared" si="11"/>
        <v>1633.9346082492827</v>
      </c>
      <c r="T42" s="286">
        <f t="shared" si="11"/>
        <v>0</v>
      </c>
      <c r="U42" s="286">
        <f t="shared" si="11"/>
        <v>1699.2919925792544</v>
      </c>
      <c r="V42" s="286">
        <f t="shared" si="11"/>
        <v>0</v>
      </c>
    </row>
    <row r="43" spans="2:22">
      <c r="B43" s="428"/>
      <c r="C43" s="24" t="s">
        <v>930</v>
      </c>
      <c r="D43" s="27" t="s">
        <v>931</v>
      </c>
      <c r="E43" s="422">
        <f>2332.14/86350*1000</f>
        <v>27.00799073537927</v>
      </c>
      <c r="F43" s="422">
        <f>2561.84/88522.6*1000</f>
        <v>28.93995431675075</v>
      </c>
      <c r="G43" s="422">
        <f>2433.01/82503.24*1000</f>
        <v>29.489872155323841</v>
      </c>
      <c r="H43" s="422">
        <f>2461.62/80788.42*1000</f>
        <v>30.469960917666171</v>
      </c>
      <c r="I43" s="422">
        <f>G43*I7</f>
        <v>30.36277237112143</v>
      </c>
      <c r="J43" s="422">
        <v>33.619999999999997</v>
      </c>
      <c r="K43" s="422">
        <f>I43*K8</f>
        <v>31.15372259138914</v>
      </c>
      <c r="L43" s="422">
        <v>35.67</v>
      </c>
      <c r="M43" s="422">
        <v>40.344000000000001</v>
      </c>
      <c r="N43" s="422"/>
      <c r="O43" s="422">
        <f>M43*O8</f>
        <v>41.95776</v>
      </c>
      <c r="P43" s="422"/>
      <c r="Q43" s="422">
        <f>O43*Q8</f>
        <v>43.636070400000001</v>
      </c>
      <c r="R43" s="422"/>
      <c r="S43" s="422">
        <f>Q43*S8</f>
        <v>45.381513216000002</v>
      </c>
      <c r="T43" s="422"/>
      <c r="U43" s="422">
        <f>S43*U8</f>
        <v>47.196773744640005</v>
      </c>
      <c r="V43" s="422"/>
    </row>
    <row r="44" spans="2:22">
      <c r="B44" s="428"/>
      <c r="C44" s="24" t="s">
        <v>932</v>
      </c>
      <c r="D44" s="27" t="s">
        <v>933</v>
      </c>
      <c r="E44" s="422">
        <v>86350</v>
      </c>
      <c r="F44" s="422">
        <v>88522.6</v>
      </c>
      <c r="G44" s="422">
        <v>82503.240000000005</v>
      </c>
      <c r="H44" s="422">
        <v>80788.42</v>
      </c>
      <c r="I44" s="422">
        <f>G44</f>
        <v>82503.240000000005</v>
      </c>
      <c r="J44" s="422">
        <v>56643.74</v>
      </c>
      <c r="K44" s="422">
        <f>I44</f>
        <v>82503.240000000005</v>
      </c>
      <c r="L44" s="422">
        <v>61948.15</v>
      </c>
      <c r="M44" s="422">
        <f>(24360.66+11643.75)</f>
        <v>36004.410000000003</v>
      </c>
      <c r="N44" s="422"/>
      <c r="O44" s="422">
        <f>M44</f>
        <v>36004.410000000003</v>
      </c>
      <c r="P44" s="422"/>
      <c r="Q44" s="422">
        <f>O44</f>
        <v>36004.410000000003</v>
      </c>
      <c r="R44" s="422"/>
      <c r="S44" s="422">
        <f>O44</f>
        <v>36004.410000000003</v>
      </c>
      <c r="T44" s="422"/>
      <c r="U44" s="422">
        <f>S44</f>
        <v>36004.410000000003</v>
      </c>
      <c r="V44" s="422"/>
    </row>
    <row r="45" spans="2:22">
      <c r="B45" s="428" t="s">
        <v>202</v>
      </c>
      <c r="C45" s="164" t="s">
        <v>935</v>
      </c>
      <c r="D45" s="27" t="s">
        <v>22</v>
      </c>
      <c r="E45" s="286">
        <f>E46*E47/1000</f>
        <v>327.60000000000002</v>
      </c>
      <c r="F45" s="286">
        <f t="shared" ref="F45:V45" si="12">F46*F47/1000</f>
        <v>398.89</v>
      </c>
      <c r="G45" s="286">
        <f t="shared" si="12"/>
        <v>351.01</v>
      </c>
      <c r="H45" s="286">
        <f t="shared" si="12"/>
        <v>380.16</v>
      </c>
      <c r="I45" s="286">
        <f t="shared" si="12"/>
        <v>361.39989600000001</v>
      </c>
      <c r="J45" s="286">
        <f t="shared" si="12"/>
        <v>331.33215929999994</v>
      </c>
      <c r="K45" s="286">
        <f t="shared" si="12"/>
        <v>380.47407745452529</v>
      </c>
      <c r="L45" s="286">
        <f t="shared" si="12"/>
        <v>364.59480959999996</v>
      </c>
      <c r="M45" s="286">
        <f t="shared" si="12"/>
        <v>516.05341060000001</v>
      </c>
      <c r="N45" s="286">
        <f t="shared" si="12"/>
        <v>0</v>
      </c>
      <c r="O45" s="286">
        <f t="shared" si="12"/>
        <v>536.69554702400012</v>
      </c>
      <c r="P45" s="286">
        <f t="shared" si="12"/>
        <v>0</v>
      </c>
      <c r="Q45" s="286">
        <f t="shared" si="12"/>
        <v>558.16336890496007</v>
      </c>
      <c r="R45" s="286">
        <f t="shared" si="12"/>
        <v>0</v>
      </c>
      <c r="S45" s="286">
        <f t="shared" si="12"/>
        <v>580.48990366115845</v>
      </c>
      <c r="T45" s="286">
        <f t="shared" si="12"/>
        <v>0</v>
      </c>
      <c r="U45" s="286">
        <f t="shared" si="12"/>
        <v>603.70949980760486</v>
      </c>
      <c r="V45" s="286">
        <f t="shared" si="12"/>
        <v>0</v>
      </c>
    </row>
    <row r="46" spans="2:22">
      <c r="B46" s="428"/>
      <c r="C46" s="24" t="s">
        <v>930</v>
      </c>
      <c r="D46" s="27" t="s">
        <v>931</v>
      </c>
      <c r="E46" s="422">
        <f>327.6/11027.15*1000</f>
        <v>29.708492221471552</v>
      </c>
      <c r="F46" s="422">
        <f>398.89/12776.66*1000</f>
        <v>31.220209350487529</v>
      </c>
      <c r="G46" s="422">
        <f>351.01/11027.15*1000</f>
        <v>31.831434232780001</v>
      </c>
      <c r="H46" s="422">
        <f>380.16/11654.22*1000</f>
        <v>32.619943677054323</v>
      </c>
      <c r="I46" s="422">
        <f>G46*I7</f>
        <v>32.773644686070291</v>
      </c>
      <c r="J46" s="422">
        <v>35.33</v>
      </c>
      <c r="K46" s="422">
        <f>I46*K8</f>
        <v>33.627398130142417</v>
      </c>
      <c r="L46" s="422">
        <v>38.369999999999997</v>
      </c>
      <c r="M46" s="422">
        <v>42.77</v>
      </c>
      <c r="N46" s="422"/>
      <c r="O46" s="422">
        <f>M46*O8</f>
        <v>44.480800000000002</v>
      </c>
      <c r="P46" s="422"/>
      <c r="Q46" s="422">
        <f>O46*Q8</f>
        <v>46.260032000000002</v>
      </c>
      <c r="R46" s="422"/>
      <c r="S46" s="422">
        <f>Q46*S8</f>
        <v>48.110433280000002</v>
      </c>
      <c r="T46" s="422"/>
      <c r="U46" s="422">
        <f>S46*U8</f>
        <v>50.034850611200007</v>
      </c>
      <c r="V46" s="422"/>
    </row>
    <row r="47" spans="2:22">
      <c r="B47" s="428"/>
      <c r="C47" s="24" t="s">
        <v>932</v>
      </c>
      <c r="D47" s="27" t="s">
        <v>933</v>
      </c>
      <c r="E47" s="422">
        <v>11027.15</v>
      </c>
      <c r="F47" s="422">
        <v>12776.66</v>
      </c>
      <c r="G47" s="422">
        <v>11027.15</v>
      </c>
      <c r="H47" s="422">
        <v>11654.22</v>
      </c>
      <c r="I47" s="422">
        <f>G47</f>
        <v>11027.15</v>
      </c>
      <c r="J47" s="422">
        <v>9378.2099999999991</v>
      </c>
      <c r="K47" s="422">
        <f>I47*K8</f>
        <v>11314.407257499999</v>
      </c>
      <c r="L47" s="422">
        <v>9502.08</v>
      </c>
      <c r="M47" s="422">
        <f>12065.78</f>
        <v>12065.78</v>
      </c>
      <c r="N47" s="422"/>
      <c r="O47" s="422">
        <f>M47</f>
        <v>12065.78</v>
      </c>
      <c r="P47" s="422"/>
      <c r="Q47" s="422">
        <f>O47</f>
        <v>12065.78</v>
      </c>
      <c r="R47" s="422"/>
      <c r="S47" s="422">
        <f>Q47</f>
        <v>12065.78</v>
      </c>
      <c r="T47" s="422"/>
      <c r="U47" s="422">
        <f>S47</f>
        <v>12065.78</v>
      </c>
      <c r="V47" s="422"/>
    </row>
    <row r="48" spans="2:22">
      <c r="B48" s="428"/>
      <c r="C48" s="24"/>
      <c r="D48" s="27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</row>
    <row r="49" spans="2:22">
      <c r="B49" s="459"/>
      <c r="C49" s="159" t="s">
        <v>936</v>
      </c>
      <c r="D49" s="424" t="s">
        <v>22</v>
      </c>
      <c r="E49" s="181">
        <f>E39+E42+E45</f>
        <v>5203.3565366359999</v>
      </c>
      <c r="F49" s="181">
        <f t="shared" ref="F49:M49" si="13">F39+F42+F45</f>
        <v>7199.5002165000005</v>
      </c>
      <c r="G49" s="181">
        <f t="shared" si="13"/>
        <v>5704.4600000000009</v>
      </c>
      <c r="H49" s="181">
        <f t="shared" si="13"/>
        <v>8576.36</v>
      </c>
      <c r="I49" s="181">
        <f t="shared" si="13"/>
        <v>5873.3120160000008</v>
      </c>
      <c r="J49" s="181">
        <f t="shared" si="13"/>
        <v>10034.358983599999</v>
      </c>
      <c r="K49" s="181">
        <f t="shared" si="13"/>
        <v>6035.9715081805252</v>
      </c>
      <c r="L49" s="181">
        <f>L39+L42+L45</f>
        <v>9725.3189181000016</v>
      </c>
      <c r="M49" s="181">
        <f t="shared" si="13"/>
        <v>8172.56533399</v>
      </c>
      <c r="N49" s="181">
        <f>'К ВО'!Q13</f>
        <v>10423.398941789679</v>
      </c>
      <c r="O49" s="181">
        <f t="shared" ref="O49:V49" si="14">O39+O42</f>
        <v>8607.9488809859995</v>
      </c>
      <c r="P49" s="181">
        <f>'К ВО'!U13</f>
        <v>10655.703496710095</v>
      </c>
      <c r="Q49" s="181">
        <f t="shared" si="14"/>
        <v>8952.2668362254408</v>
      </c>
      <c r="R49" s="181">
        <f t="shared" si="14"/>
        <v>0</v>
      </c>
      <c r="S49" s="181">
        <f t="shared" si="14"/>
        <v>9310.3575096744589</v>
      </c>
      <c r="T49" s="181">
        <f t="shared" si="14"/>
        <v>0</v>
      </c>
      <c r="U49" s="181">
        <f t="shared" si="14"/>
        <v>9682.7718100614384</v>
      </c>
      <c r="V49" s="181">
        <f t="shared" si="14"/>
        <v>0</v>
      </c>
    </row>
    <row r="50" spans="2:22" ht="56.25">
      <c r="B50" s="458" t="s">
        <v>828</v>
      </c>
      <c r="C50" s="159" t="s">
        <v>937</v>
      </c>
      <c r="D50" s="420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</row>
    <row r="51" spans="2:22" ht="21">
      <c r="B51" s="428" t="s">
        <v>226</v>
      </c>
      <c r="C51" s="164" t="s">
        <v>1096</v>
      </c>
      <c r="D51" s="27" t="s">
        <v>22</v>
      </c>
      <c r="E51" s="286">
        <f>E52*E53/1000</f>
        <v>0</v>
      </c>
      <c r="F51" s="286">
        <f t="shared" ref="F51:V51" si="15">F52*F53/1000</f>
        <v>0</v>
      </c>
      <c r="G51" s="286">
        <f t="shared" si="15"/>
        <v>0</v>
      </c>
      <c r="H51" s="286">
        <f t="shared" si="15"/>
        <v>0</v>
      </c>
      <c r="I51" s="286">
        <f t="shared" si="15"/>
        <v>0</v>
      </c>
      <c r="J51" s="286">
        <f t="shared" si="15"/>
        <v>0</v>
      </c>
      <c r="K51" s="286">
        <f t="shared" si="15"/>
        <v>0</v>
      </c>
      <c r="L51" s="286">
        <f t="shared" si="15"/>
        <v>0</v>
      </c>
      <c r="M51" s="286">
        <f t="shared" si="15"/>
        <v>0</v>
      </c>
      <c r="N51" s="286">
        <f t="shared" si="15"/>
        <v>0</v>
      </c>
      <c r="O51" s="286">
        <f t="shared" si="15"/>
        <v>0</v>
      </c>
      <c r="P51" s="286">
        <f t="shared" si="15"/>
        <v>0</v>
      </c>
      <c r="Q51" s="286">
        <f t="shared" si="15"/>
        <v>0</v>
      </c>
      <c r="R51" s="286">
        <f t="shared" si="15"/>
        <v>0</v>
      </c>
      <c r="S51" s="286">
        <f t="shared" si="15"/>
        <v>0</v>
      </c>
      <c r="T51" s="286">
        <f t="shared" si="15"/>
        <v>0</v>
      </c>
      <c r="U51" s="286">
        <f t="shared" si="15"/>
        <v>0</v>
      </c>
      <c r="V51" s="286">
        <f t="shared" si="15"/>
        <v>0</v>
      </c>
    </row>
    <row r="52" spans="2:22">
      <c r="B52" s="428"/>
      <c r="C52" s="24" t="s">
        <v>930</v>
      </c>
      <c r="D52" s="27" t="s">
        <v>931</v>
      </c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</row>
    <row r="53" spans="2:22" hidden="1">
      <c r="B53" s="428"/>
      <c r="C53" s="24" t="s">
        <v>932</v>
      </c>
      <c r="D53" s="27" t="s">
        <v>933</v>
      </c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</row>
    <row r="54" spans="2:22" ht="21" hidden="1">
      <c r="B54" s="428" t="s">
        <v>244</v>
      </c>
      <c r="C54" s="164" t="s">
        <v>1097</v>
      </c>
      <c r="D54" s="27" t="s">
        <v>22</v>
      </c>
      <c r="E54" s="286">
        <f>E55*E56/1000</f>
        <v>0</v>
      </c>
      <c r="F54" s="286">
        <f t="shared" ref="F54:V54" si="16">F55*F56/1000</f>
        <v>0</v>
      </c>
      <c r="G54" s="286">
        <f t="shared" si="16"/>
        <v>0</v>
      </c>
      <c r="H54" s="286">
        <f t="shared" si="16"/>
        <v>0</v>
      </c>
      <c r="I54" s="286">
        <f t="shared" si="16"/>
        <v>0</v>
      </c>
      <c r="J54" s="286">
        <f t="shared" si="16"/>
        <v>0</v>
      </c>
      <c r="K54" s="286">
        <f t="shared" si="16"/>
        <v>0</v>
      </c>
      <c r="L54" s="286">
        <f t="shared" si="16"/>
        <v>0</v>
      </c>
      <c r="M54" s="286">
        <f t="shared" si="16"/>
        <v>0</v>
      </c>
      <c r="N54" s="286">
        <f t="shared" si="16"/>
        <v>0</v>
      </c>
      <c r="O54" s="286">
        <f t="shared" si="16"/>
        <v>0</v>
      </c>
      <c r="P54" s="286">
        <f t="shared" si="16"/>
        <v>0</v>
      </c>
      <c r="Q54" s="286">
        <f t="shared" si="16"/>
        <v>0</v>
      </c>
      <c r="R54" s="286">
        <f t="shared" si="16"/>
        <v>0</v>
      </c>
      <c r="S54" s="286">
        <f t="shared" si="16"/>
        <v>0</v>
      </c>
      <c r="T54" s="286">
        <f t="shared" si="16"/>
        <v>0</v>
      </c>
      <c r="U54" s="286">
        <f t="shared" si="16"/>
        <v>0</v>
      </c>
      <c r="V54" s="286">
        <f t="shared" si="16"/>
        <v>0</v>
      </c>
    </row>
    <row r="55" spans="2:22" hidden="1">
      <c r="B55" s="428"/>
      <c r="C55" s="24" t="s">
        <v>930</v>
      </c>
      <c r="D55" s="27" t="s">
        <v>931</v>
      </c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</row>
    <row r="56" spans="2:22" hidden="1">
      <c r="B56" s="428"/>
      <c r="C56" s="24" t="s">
        <v>932</v>
      </c>
      <c r="D56" s="27" t="s">
        <v>933</v>
      </c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</row>
    <row r="57" spans="2:22" ht="73.5" customHeight="1">
      <c r="B57" s="459" t="s">
        <v>830</v>
      </c>
      <c r="C57" s="429" t="s">
        <v>942</v>
      </c>
      <c r="D57" s="424" t="s">
        <v>22</v>
      </c>
      <c r="E57" s="181">
        <v>4040.42</v>
      </c>
      <c r="F57" s="181">
        <v>4617</v>
      </c>
      <c r="G57" s="181">
        <v>2911.98</v>
      </c>
      <c r="H57" s="181">
        <v>4012.5</v>
      </c>
      <c r="I57" s="181">
        <f>G57*I7</f>
        <v>2998.1746080000003</v>
      </c>
      <c r="J57" s="181">
        <f>940.708+105.92+705.089+7.34+356.45+2323.62</f>
        <v>4439.1270000000004</v>
      </c>
      <c r="K57" s="181">
        <f>I57*K8-0.31</f>
        <v>3075.9670565383999</v>
      </c>
      <c r="L57" s="181">
        <v>4911.68</v>
      </c>
      <c r="M57" s="181">
        <f>'К ВО'!S14</f>
        <v>8900.2099999999991</v>
      </c>
      <c r="N57" s="181">
        <f t="shared" ref="N57:V57" si="17">N51+N54</f>
        <v>0</v>
      </c>
      <c r="O57" s="181">
        <f>M57*O8</f>
        <v>9256.2183999999997</v>
      </c>
      <c r="P57" s="181">
        <f t="shared" si="17"/>
        <v>0</v>
      </c>
      <c r="Q57" s="181">
        <f>O57*Q8</f>
        <v>9626.4671359999993</v>
      </c>
      <c r="R57" s="181">
        <f t="shared" si="17"/>
        <v>0</v>
      </c>
      <c r="S57" s="181">
        <f>Q57*S8</f>
        <v>10011.52582144</v>
      </c>
      <c r="T57" s="181">
        <f t="shared" si="17"/>
        <v>0</v>
      </c>
      <c r="U57" s="181">
        <f>S57*U8</f>
        <v>10411.9868542976</v>
      </c>
      <c r="V57" s="181">
        <f t="shared" si="17"/>
        <v>0</v>
      </c>
    </row>
    <row r="58" spans="2:22" ht="29.1" customHeight="1">
      <c r="B58" s="459" t="s">
        <v>941</v>
      </c>
      <c r="C58" s="159" t="s">
        <v>1098</v>
      </c>
      <c r="D58" s="426" t="s">
        <v>581</v>
      </c>
      <c r="E58" s="422">
        <f>E49+E57</f>
        <v>9243.7765366359999</v>
      </c>
      <c r="F58" s="422">
        <f t="shared" ref="F58:V58" si="18">F49+F57</f>
        <v>11816.500216500001</v>
      </c>
      <c r="G58" s="422">
        <f>G49+G57</f>
        <v>8616.44</v>
      </c>
      <c r="H58" s="422">
        <f t="shared" si="18"/>
        <v>12588.86</v>
      </c>
      <c r="I58" s="422">
        <f t="shared" si="18"/>
        <v>8871.486624000001</v>
      </c>
      <c r="J58" s="422">
        <f t="shared" si="18"/>
        <v>14473.4859836</v>
      </c>
      <c r="K58" s="422">
        <f t="shared" si="18"/>
        <v>9111.9385647189247</v>
      </c>
      <c r="L58" s="422">
        <f t="shared" si="18"/>
        <v>14636.998918100002</v>
      </c>
      <c r="M58" s="422">
        <f t="shared" si="18"/>
        <v>17072.775333990001</v>
      </c>
      <c r="N58" s="422">
        <f t="shared" si="18"/>
        <v>10423.398941789679</v>
      </c>
      <c r="O58" s="422">
        <f t="shared" si="18"/>
        <v>17864.167280985999</v>
      </c>
      <c r="P58" s="422">
        <f t="shared" si="18"/>
        <v>10655.703496710095</v>
      </c>
      <c r="Q58" s="422">
        <f t="shared" si="18"/>
        <v>18578.73397222544</v>
      </c>
      <c r="R58" s="422">
        <f t="shared" si="18"/>
        <v>0</v>
      </c>
      <c r="S58" s="422">
        <f t="shared" si="18"/>
        <v>19321.883331114459</v>
      </c>
      <c r="T58" s="422">
        <f t="shared" si="18"/>
        <v>0</v>
      </c>
      <c r="U58" s="422">
        <f t="shared" si="18"/>
        <v>20094.75866435904</v>
      </c>
      <c r="V58" s="422">
        <f t="shared" si="18"/>
        <v>0</v>
      </c>
    </row>
    <row r="59" spans="2:22">
      <c r="B59" s="459" t="s">
        <v>834</v>
      </c>
      <c r="C59" s="295" t="s">
        <v>943</v>
      </c>
      <c r="D59" s="420" t="s">
        <v>22</v>
      </c>
      <c r="E59" s="297">
        <f>E58+E35</f>
        <v>9513.0065366359995</v>
      </c>
      <c r="F59" s="297">
        <f t="shared" ref="F59:V59" si="19">F58+F35</f>
        <v>12037.620216500001</v>
      </c>
      <c r="G59" s="297">
        <f t="shared" si="19"/>
        <v>8870.2300000000014</v>
      </c>
      <c r="H59" s="297">
        <f t="shared" si="19"/>
        <v>26116.45</v>
      </c>
      <c r="I59" s="297">
        <f t="shared" si="19"/>
        <v>9132.7888080000012</v>
      </c>
      <c r="J59" s="297">
        <f t="shared" si="19"/>
        <v>55427.240913935995</v>
      </c>
      <c r="K59" s="297">
        <f>K58+K35</f>
        <v>9380.0476706121244</v>
      </c>
      <c r="L59" s="297">
        <f t="shared" si="19"/>
        <v>70302.248663687889</v>
      </c>
      <c r="M59" s="297">
        <f t="shared" si="19"/>
        <v>75647.703068795992</v>
      </c>
      <c r="N59" s="297">
        <f t="shared" si="19"/>
        <v>115526.79405982968</v>
      </c>
      <c r="O59" s="297">
        <f t="shared" si="19"/>
        <v>122256.27575906602</v>
      </c>
      <c r="P59" s="297">
        <f t="shared" si="19"/>
        <v>118250.04907904765</v>
      </c>
      <c r="Q59" s="297">
        <f t="shared" si="19"/>
        <v>151494.65994054842</v>
      </c>
      <c r="R59" s="297">
        <f t="shared" si="19"/>
        <v>110139.46982708774</v>
      </c>
      <c r="S59" s="297">
        <f t="shared" si="19"/>
        <v>154698.60801405346</v>
      </c>
      <c r="T59" s="297">
        <f t="shared" si="19"/>
        <v>0</v>
      </c>
      <c r="U59" s="297">
        <f t="shared" si="19"/>
        <v>157836.52660736704</v>
      </c>
      <c r="V59" s="297">
        <f t="shared" si="19"/>
        <v>0</v>
      </c>
    </row>
    <row r="60" spans="2:22">
      <c r="B60" s="430"/>
      <c r="C60" s="303" t="s">
        <v>1099</v>
      </c>
      <c r="D60" s="431"/>
      <c r="E60" s="306"/>
      <c r="F60" s="306"/>
      <c r="G60" s="305">
        <f>G59+G49+G35</f>
        <v>14828.480000000003</v>
      </c>
      <c r="H60" s="306"/>
      <c r="I60" s="305">
        <f>I35+I49+I57</f>
        <v>9132.7888080000012</v>
      </c>
      <c r="J60" s="306"/>
      <c r="K60" s="305">
        <f>K35+K49+K57</f>
        <v>9380.0476706121244</v>
      </c>
      <c r="L60" s="306"/>
    </row>
    <row r="61" spans="2:22">
      <c r="B61" s="430"/>
      <c r="C61" s="303"/>
      <c r="D61" s="431"/>
      <c r="E61" s="306"/>
      <c r="F61" s="306"/>
      <c r="G61" s="1601" t="s">
        <v>944</v>
      </c>
      <c r="H61" s="1601"/>
      <c r="I61" s="1601"/>
      <c r="J61" s="1601"/>
      <c r="K61" s="1601"/>
      <c r="L61" s="1601"/>
    </row>
    <row r="62" spans="2:22">
      <c r="B62" s="430"/>
      <c r="C62" s="303"/>
      <c r="D62" s="431"/>
      <c r="E62" s="306"/>
      <c r="F62" s="306"/>
      <c r="G62" s="1601" t="s">
        <v>889</v>
      </c>
      <c r="H62" s="1601"/>
      <c r="I62" s="1601"/>
      <c r="J62" s="1601"/>
      <c r="K62" s="1601"/>
      <c r="L62" s="1601"/>
    </row>
    <row r="63" spans="2:22">
      <c r="B63" s="430"/>
      <c r="C63" s="303"/>
      <c r="D63" s="431"/>
      <c r="E63" s="306"/>
      <c r="F63" s="306"/>
      <c r="G63" s="418" t="s">
        <v>890</v>
      </c>
      <c r="H63" s="418"/>
      <c r="I63" s="418"/>
      <c r="J63" s="418"/>
      <c r="K63" s="418"/>
      <c r="L63" s="418"/>
    </row>
    <row r="64" spans="2:22">
      <c r="B64" s="430"/>
      <c r="C64" s="303"/>
      <c r="D64" s="431"/>
      <c r="E64" s="306"/>
      <c r="F64" s="306"/>
      <c r="G64" s="1601" t="s">
        <v>891</v>
      </c>
      <c r="H64" s="1601"/>
      <c r="I64" s="1601"/>
      <c r="J64" s="1601"/>
      <c r="K64" s="1601"/>
      <c r="L64" s="1601"/>
      <c r="Q64" s="993"/>
      <c r="R64" s="993"/>
      <c r="S64" s="993"/>
      <c r="T64" s="993"/>
      <c r="U64" s="993"/>
      <c r="V64" s="993"/>
    </row>
    <row r="65" spans="2:22" ht="15.75">
      <c r="B65" s="419" t="s">
        <v>945</v>
      </c>
      <c r="C65" s="432"/>
      <c r="D65" s="433"/>
      <c r="E65" s="434"/>
      <c r="F65" s="306"/>
      <c r="G65" s="418"/>
      <c r="H65" s="418"/>
      <c r="I65" s="418"/>
      <c r="J65" s="418"/>
      <c r="K65" s="418"/>
      <c r="L65" s="418"/>
    </row>
    <row r="66" spans="2:22">
      <c r="B66" s="430"/>
      <c r="C66" s="303"/>
      <c r="D66" s="431"/>
      <c r="E66" s="306"/>
      <c r="F66" s="306"/>
      <c r="G66" s="418"/>
      <c r="H66" s="418"/>
      <c r="I66" s="418"/>
      <c r="J66" s="435">
        <f>J73+'[7]расшифровки ВС'!J100</f>
        <v>48067.717000000004</v>
      </c>
      <c r="K66" s="435">
        <f>K73+'[7]расшифровки ВС'!K100</f>
        <v>68393.238888888896</v>
      </c>
      <c r="L66" s="435">
        <f>L73+'[7]расшифровки ВС'!L100</f>
        <v>47915.002999999997</v>
      </c>
      <c r="M66" s="435">
        <f>M73+'[7]расшифровки ВС'!M100</f>
        <v>47706.298999999999</v>
      </c>
      <c r="N66" s="435">
        <f>N73+'[7]расшифровки ВС'!N100</f>
        <v>19413.259070400003</v>
      </c>
      <c r="O66" s="435">
        <f>O73+'[7]расшифровки ВС'!O100</f>
        <v>48303.159</v>
      </c>
      <c r="P66" s="435">
        <f>P73+'[7]расшифровки ВС'!P100</f>
        <v>20609.555231999999</v>
      </c>
      <c r="Q66" s="435">
        <f>Q73+'[7]расшифровки ВС'!Q100</f>
        <v>48757.390999999996</v>
      </c>
      <c r="R66" s="435">
        <f>R73+'[7]расшифровки ВС'!R100</f>
        <v>0</v>
      </c>
      <c r="S66" s="435">
        <f>S73+'[7]расшифровки ВС'!S100</f>
        <v>48765.661</v>
      </c>
      <c r="T66" s="435">
        <f>T73+'[7]расшифровки ВС'!T100</f>
        <v>0</v>
      </c>
      <c r="U66" s="435">
        <f>U73+'[7]расшифровки ВС'!U100</f>
        <v>48766.661</v>
      </c>
      <c r="V66" s="435">
        <f>V73+'[7]расшифровки ВС'!V100</f>
        <v>0</v>
      </c>
    </row>
    <row r="67" spans="2:22" ht="15.75">
      <c r="B67" s="419" t="s">
        <v>946</v>
      </c>
      <c r="C67" s="303"/>
      <c r="D67" s="431"/>
      <c r="E67" s="306"/>
      <c r="F67" s="306"/>
      <c r="G67" s="306"/>
      <c r="H67" s="306"/>
      <c r="I67" s="306"/>
      <c r="J67" s="306"/>
      <c r="K67" s="306">
        <v>1.2728115</v>
      </c>
      <c r="L67" s="306">
        <v>1.06</v>
      </c>
      <c r="M67" s="1">
        <v>1.0569999999999999</v>
      </c>
      <c r="O67" s="1">
        <v>1.04</v>
      </c>
      <c r="Q67" s="1">
        <v>1.04</v>
      </c>
      <c r="S67" s="1">
        <v>1.04</v>
      </c>
      <c r="U67" s="1">
        <v>1.04</v>
      </c>
    </row>
    <row r="68" spans="2:22" ht="21" customHeight="1">
      <c r="B68" s="1597" t="s">
        <v>539</v>
      </c>
      <c r="C68" s="1598" t="s">
        <v>540</v>
      </c>
      <c r="D68" s="1599" t="s">
        <v>541</v>
      </c>
      <c r="E68" s="1596" t="s">
        <v>4</v>
      </c>
      <c r="F68" s="1596"/>
      <c r="G68" s="1596" t="s">
        <v>5</v>
      </c>
      <c r="H68" s="1596"/>
      <c r="I68" s="1596" t="s">
        <v>6</v>
      </c>
      <c r="J68" s="1596"/>
      <c r="K68" s="1596" t="s">
        <v>7</v>
      </c>
      <c r="L68" s="1596"/>
      <c r="M68" s="1596" t="str">
        <f>M9</f>
        <v>Факт 2019 год</v>
      </c>
      <c r="N68" s="1596"/>
      <c r="O68" s="1596" t="s">
        <v>1387</v>
      </c>
      <c r="P68" s="1596"/>
      <c r="Q68" s="1596" t="s">
        <v>10</v>
      </c>
      <c r="R68" s="1596"/>
      <c r="S68" s="1596" t="s">
        <v>11</v>
      </c>
      <c r="T68" s="1596"/>
      <c r="U68" s="1596" t="s">
        <v>12</v>
      </c>
      <c r="V68" s="1596"/>
    </row>
    <row r="69" spans="2:22" ht="30" customHeight="1">
      <c r="B69" s="1597"/>
      <c r="C69" s="1598"/>
      <c r="D69" s="1599"/>
      <c r="E69" s="149" t="s">
        <v>13</v>
      </c>
      <c r="F69" s="150" t="s">
        <v>14</v>
      </c>
      <c r="G69" s="149" t="s">
        <v>13</v>
      </c>
      <c r="H69" s="150" t="s">
        <v>14</v>
      </c>
      <c r="I69" s="149" t="s">
        <v>13</v>
      </c>
      <c r="J69" s="150" t="s">
        <v>14</v>
      </c>
      <c r="K69" s="149" t="s">
        <v>13</v>
      </c>
      <c r="L69" s="150" t="s">
        <v>14</v>
      </c>
      <c r="M69" s="149" t="s">
        <v>1361</v>
      </c>
      <c r="N69" s="150" t="s">
        <v>17</v>
      </c>
      <c r="O69" s="149" t="s">
        <v>1388</v>
      </c>
      <c r="P69" s="150" t="s">
        <v>17</v>
      </c>
      <c r="Q69" s="149" t="s">
        <v>16</v>
      </c>
      <c r="R69" s="150" t="s">
        <v>17</v>
      </c>
      <c r="S69" s="149" t="s">
        <v>16</v>
      </c>
      <c r="T69" s="150" t="s">
        <v>17</v>
      </c>
      <c r="U69" s="149" t="s">
        <v>16</v>
      </c>
      <c r="V69" s="150" t="s">
        <v>17</v>
      </c>
    </row>
    <row r="70" spans="2:22">
      <c r="B70" s="155">
        <v>1</v>
      </c>
      <c r="C70" s="155">
        <v>2</v>
      </c>
      <c r="D70" s="155">
        <v>3</v>
      </c>
      <c r="E70" s="155">
        <v>4</v>
      </c>
      <c r="F70" s="155">
        <v>5</v>
      </c>
      <c r="G70" s="155">
        <v>6</v>
      </c>
      <c r="H70" s="155">
        <v>7</v>
      </c>
      <c r="I70" s="155">
        <v>8</v>
      </c>
      <c r="J70" s="155">
        <v>9</v>
      </c>
      <c r="K70" s="155">
        <v>10</v>
      </c>
      <c r="L70" s="155">
        <v>11</v>
      </c>
      <c r="M70" s="155">
        <v>12</v>
      </c>
      <c r="N70" s="155">
        <v>13</v>
      </c>
      <c r="O70" s="155">
        <v>14</v>
      </c>
      <c r="P70" s="155">
        <v>15</v>
      </c>
      <c r="Q70" s="155">
        <v>16</v>
      </c>
      <c r="R70" s="155">
        <v>17</v>
      </c>
      <c r="S70" s="155">
        <v>18</v>
      </c>
      <c r="T70" s="155">
        <v>19</v>
      </c>
      <c r="U70" s="155">
        <v>20</v>
      </c>
      <c r="V70" s="155">
        <v>21</v>
      </c>
    </row>
    <row r="71" spans="2:22">
      <c r="B71" s="95" t="s">
        <v>41</v>
      </c>
      <c r="C71" s="436" t="s">
        <v>42</v>
      </c>
      <c r="D71" s="16" t="s">
        <v>22</v>
      </c>
      <c r="E71" s="17">
        <f>SUM(E113,E125,E119)</f>
        <v>22882.457999999995</v>
      </c>
      <c r="F71" s="17">
        <f t="shared" ref="F71:V71" si="20">SUM(F113,F125,F119)</f>
        <v>24621.593493</v>
      </c>
      <c r="G71" s="17">
        <f t="shared" si="20"/>
        <v>24559.587820000001</v>
      </c>
      <c r="H71" s="17">
        <f t="shared" si="20"/>
        <v>54757.077572000002</v>
      </c>
      <c r="I71" s="17">
        <f t="shared" si="20"/>
        <v>133903.08204408333</v>
      </c>
      <c r="J71" s="17">
        <f t="shared" si="20"/>
        <v>69690.145648200007</v>
      </c>
      <c r="K71" s="17">
        <f t="shared" si="20"/>
        <v>170433.38271115278</v>
      </c>
      <c r="L71" s="17">
        <f t="shared" si="20"/>
        <v>76095.354769929283</v>
      </c>
      <c r="M71" s="17">
        <f t="shared" si="20"/>
        <v>84417.862851600017</v>
      </c>
      <c r="N71" s="17">
        <f t="shared" si="20"/>
        <v>69541.346686369652</v>
      </c>
      <c r="O71" s="17">
        <f>SUM(O113,O125,O119)</f>
        <v>95188.269725999984</v>
      </c>
      <c r="P71" s="17">
        <f t="shared" si="20"/>
        <v>76365.988461988483</v>
      </c>
      <c r="Q71" s="17">
        <f t="shared" si="20"/>
        <v>105536.874331</v>
      </c>
      <c r="R71" s="17">
        <f t="shared" si="20"/>
        <v>0</v>
      </c>
      <c r="S71" s="17">
        <f t="shared" si="20"/>
        <v>117511.037444</v>
      </c>
      <c r="T71" s="17">
        <f t="shared" si="20"/>
        <v>0</v>
      </c>
      <c r="U71" s="17">
        <f t="shared" si="20"/>
        <v>129268.75318299999</v>
      </c>
      <c r="V71" s="17">
        <f t="shared" si="20"/>
        <v>0</v>
      </c>
    </row>
    <row r="72" spans="2:22">
      <c r="B72" s="437" t="s">
        <v>43</v>
      </c>
      <c r="C72" s="438" t="s">
        <v>44</v>
      </c>
      <c r="D72" s="16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2:22" ht="21">
      <c r="B73" s="437" t="s">
        <v>45</v>
      </c>
      <c r="C73" s="32" t="s">
        <v>46</v>
      </c>
      <c r="D73" s="16" t="s">
        <v>47</v>
      </c>
      <c r="E73" s="17">
        <f t="shared" ref="E73:V73" si="21">SUM(E74:E78)</f>
        <v>7215.5</v>
      </c>
      <c r="F73" s="17">
        <f t="shared" si="21"/>
        <v>8170.5</v>
      </c>
      <c r="G73" s="17">
        <f t="shared" si="21"/>
        <v>7198.3899999999994</v>
      </c>
      <c r="H73" s="17">
        <f t="shared" si="21"/>
        <v>17421.849999999999</v>
      </c>
      <c r="I73" s="17">
        <f t="shared" si="21"/>
        <v>37120.538888888892</v>
      </c>
      <c r="J73" s="17">
        <f t="shared" si="21"/>
        <v>21581.260000000002</v>
      </c>
      <c r="K73" s="17">
        <f t="shared" si="21"/>
        <v>37120.538888888892</v>
      </c>
      <c r="L73" s="17">
        <f t="shared" si="21"/>
        <v>21288.545999999998</v>
      </c>
      <c r="M73" s="17">
        <f t="shared" si="21"/>
        <v>21249.188999999998</v>
      </c>
      <c r="N73" s="17">
        <f t="shared" si="21"/>
        <v>19413.259070400003</v>
      </c>
      <c r="O73" s="17">
        <f t="shared" si="21"/>
        <v>21546.048999999999</v>
      </c>
      <c r="P73" s="17">
        <f t="shared" si="21"/>
        <v>20609.555231999999</v>
      </c>
      <c r="Q73" s="17">
        <f t="shared" si="21"/>
        <v>22000.280999999995</v>
      </c>
      <c r="R73" s="17">
        <f t="shared" si="21"/>
        <v>0</v>
      </c>
      <c r="S73" s="17">
        <f>SUM(S74:S78)</f>
        <v>22008.550999999999</v>
      </c>
      <c r="T73" s="17">
        <f t="shared" si="21"/>
        <v>0</v>
      </c>
      <c r="U73" s="17">
        <f t="shared" si="21"/>
        <v>22009.550999999999</v>
      </c>
      <c r="V73" s="17">
        <f t="shared" si="21"/>
        <v>0</v>
      </c>
    </row>
    <row r="74" spans="2:22">
      <c r="B74" s="437" t="s">
        <v>48</v>
      </c>
      <c r="C74" s="34" t="s">
        <v>49</v>
      </c>
      <c r="D74" s="16" t="s">
        <v>47</v>
      </c>
      <c r="E74" s="22">
        <v>760.7</v>
      </c>
      <c r="F74" s="22">
        <v>625</v>
      </c>
      <c r="G74" s="22">
        <v>743.4</v>
      </c>
      <c r="H74" s="22">
        <v>487.55</v>
      </c>
      <c r="I74" s="22">
        <v>743.4</v>
      </c>
      <c r="J74" s="22">
        <v>393.58</v>
      </c>
      <c r="K74" s="22">
        <v>743.4</v>
      </c>
      <c r="L74" s="22">
        <v>447.3</v>
      </c>
      <c r="M74" s="22">
        <v>455.92700000000002</v>
      </c>
      <c r="N74" s="22">
        <f>M74*0.9136</f>
        <v>416.53490720000002</v>
      </c>
      <c r="O74" s="22">
        <v>457.17599999999999</v>
      </c>
      <c r="P74" s="22">
        <v>409.76787199999995</v>
      </c>
      <c r="Q74" s="22">
        <v>455.92700000000002</v>
      </c>
      <c r="R74" s="22"/>
      <c r="S74" s="22">
        <v>455.92700000000002</v>
      </c>
      <c r="T74" s="22"/>
      <c r="U74" s="22">
        <v>455.92700000000002</v>
      </c>
      <c r="V74" s="22"/>
    </row>
    <row r="75" spans="2:22">
      <c r="B75" s="437" t="s">
        <v>50</v>
      </c>
      <c r="C75" s="34" t="s">
        <v>51</v>
      </c>
      <c r="D75" s="16" t="s">
        <v>47</v>
      </c>
      <c r="E75" s="22">
        <v>5408.2</v>
      </c>
      <c r="F75" s="22">
        <v>6314.7</v>
      </c>
      <c r="G75" s="22">
        <v>5408.39</v>
      </c>
      <c r="H75" s="22">
        <v>8990.7999999999993</v>
      </c>
      <c r="I75" s="22">
        <v>5408.2</v>
      </c>
      <c r="J75" s="22"/>
      <c r="K75" s="22">
        <v>5408.2</v>
      </c>
      <c r="L75" s="22">
        <v>10125.646000000001</v>
      </c>
      <c r="M75" s="22">
        <v>10324.454</v>
      </c>
      <c r="N75" s="22">
        <f>M75*0.9136</f>
        <v>9432.4211743999986</v>
      </c>
      <c r="O75" s="22">
        <v>10361.373</v>
      </c>
      <c r="P75" s="22">
        <v>9250.3827199999996</v>
      </c>
      <c r="Q75" s="22">
        <v>10336.346</v>
      </c>
      <c r="R75" s="22"/>
      <c r="S75" s="22">
        <v>10344.616</v>
      </c>
      <c r="T75" s="22"/>
      <c r="U75" s="22">
        <v>10345.616</v>
      </c>
      <c r="V75" s="22"/>
    </row>
    <row r="76" spans="2:22">
      <c r="B76" s="437" t="s">
        <v>52</v>
      </c>
      <c r="C76" s="34" t="s">
        <v>53</v>
      </c>
      <c r="D76" s="16" t="s">
        <v>47</v>
      </c>
      <c r="E76" s="22"/>
      <c r="F76" s="22">
        <v>219.1</v>
      </c>
      <c r="G76" s="22"/>
      <c r="H76" s="22">
        <v>6896.1</v>
      </c>
      <c r="I76" s="22">
        <f>107722.58/3.6</f>
        <v>29922.93888888889</v>
      </c>
      <c r="J76" s="22">
        <v>19961.080000000002</v>
      </c>
      <c r="K76" s="22">
        <f>107722.58/3.6</f>
        <v>29922.93888888889</v>
      </c>
      <c r="L76" s="22">
        <v>9668.9</v>
      </c>
      <c r="M76" s="22">
        <v>9413.1</v>
      </c>
      <c r="N76" s="22">
        <f>M76*0.9136</f>
        <v>8599.8081600000005</v>
      </c>
      <c r="O76" s="22">
        <v>9668.9</v>
      </c>
      <c r="P76" s="22">
        <v>9990.5814399999999</v>
      </c>
      <c r="Q76" s="22">
        <v>10152.299999999999</v>
      </c>
      <c r="R76" s="22"/>
      <c r="S76" s="22">
        <v>10152.299999999999</v>
      </c>
      <c r="T76" s="22"/>
      <c r="U76" s="22">
        <v>10152.299999999999</v>
      </c>
      <c r="V76" s="22"/>
    </row>
    <row r="77" spans="2:22">
      <c r="B77" s="437" t="s">
        <v>54</v>
      </c>
      <c r="C77" s="34" t="s">
        <v>55</v>
      </c>
      <c r="D77" s="16" t="s">
        <v>47</v>
      </c>
      <c r="E77" s="22">
        <v>1046.5999999999999</v>
      </c>
      <c r="F77" s="22">
        <v>1011.7</v>
      </c>
      <c r="G77" s="22">
        <v>1046.5999999999999</v>
      </c>
      <c r="H77" s="22">
        <v>1047.4000000000001</v>
      </c>
      <c r="I77" s="22">
        <v>1046</v>
      </c>
      <c r="J77" s="22">
        <v>1226.5999999999999</v>
      </c>
      <c r="K77" s="22">
        <v>1046</v>
      </c>
      <c r="L77" s="22">
        <v>1046.7</v>
      </c>
      <c r="M77" s="22">
        <v>1055.7080000000001</v>
      </c>
      <c r="N77" s="22">
        <f>M77*0.9136</f>
        <v>964.49482880000005</v>
      </c>
      <c r="O77" s="22">
        <v>1058.5999999999999</v>
      </c>
      <c r="P77" s="22">
        <v>958.82319999999993</v>
      </c>
      <c r="Q77" s="22">
        <v>1055.7080000000001</v>
      </c>
      <c r="R77" s="22"/>
      <c r="S77" s="22">
        <v>1055.7080000000001</v>
      </c>
      <c r="T77" s="22"/>
      <c r="U77" s="22">
        <v>1055.7080000000001</v>
      </c>
      <c r="V77" s="22"/>
    </row>
    <row r="78" spans="2:22" ht="21" hidden="1">
      <c r="B78" s="437" t="s">
        <v>56</v>
      </c>
      <c r="C78" s="34" t="s">
        <v>57</v>
      </c>
      <c r="D78" s="16" t="s">
        <v>47</v>
      </c>
      <c r="E78" s="22"/>
      <c r="F78" s="22"/>
      <c r="G78" s="22"/>
      <c r="H78" s="22"/>
      <c r="I78" s="22"/>
      <c r="J78" s="22"/>
      <c r="K78" s="22"/>
      <c r="L78" s="22"/>
      <c r="M78" s="22"/>
      <c r="N78" s="22">
        <f t="shared" ref="N78:N90" si="22">M78*0.91</f>
        <v>0</v>
      </c>
      <c r="O78" s="22"/>
      <c r="P78" s="22"/>
      <c r="Q78" s="22"/>
      <c r="R78" s="22"/>
      <c r="S78" s="22"/>
      <c r="T78" s="22"/>
      <c r="U78" s="22"/>
      <c r="V78" s="22"/>
    </row>
    <row r="79" spans="2:22" ht="31.5" hidden="1">
      <c r="B79" s="437" t="s">
        <v>58</v>
      </c>
      <c r="C79" s="32" t="s">
        <v>59</v>
      </c>
      <c r="D79" s="16"/>
      <c r="E79" s="30"/>
      <c r="F79" s="30"/>
      <c r="G79" s="30"/>
      <c r="H79" s="30"/>
      <c r="I79" s="30"/>
      <c r="J79" s="30"/>
      <c r="K79" s="30"/>
      <c r="L79" s="30"/>
      <c r="M79" s="30"/>
      <c r="N79" s="22">
        <f t="shared" si="22"/>
        <v>0</v>
      </c>
      <c r="O79" s="30"/>
      <c r="P79" s="30"/>
      <c r="Q79" s="30"/>
      <c r="R79" s="30"/>
      <c r="S79" s="30"/>
      <c r="T79" s="30"/>
      <c r="U79" s="30"/>
      <c r="V79" s="30"/>
    </row>
    <row r="80" spans="2:22" hidden="1">
      <c r="B80" s="437" t="s">
        <v>60</v>
      </c>
      <c r="C80" s="34" t="s">
        <v>61</v>
      </c>
      <c r="D80" s="16" t="s">
        <v>62</v>
      </c>
      <c r="E80" s="17">
        <f t="shared" ref="E80:V80" si="23">SUM(E81:E85)</f>
        <v>0</v>
      </c>
      <c r="F80" s="17">
        <f t="shared" si="23"/>
        <v>0</v>
      </c>
      <c r="G80" s="17">
        <f t="shared" si="23"/>
        <v>0</v>
      </c>
      <c r="H80" s="17">
        <f t="shared" si="23"/>
        <v>0</v>
      </c>
      <c r="I80" s="17">
        <f t="shared" si="23"/>
        <v>0</v>
      </c>
      <c r="J80" s="17">
        <f t="shared" si="23"/>
        <v>0</v>
      </c>
      <c r="K80" s="17">
        <f t="shared" si="23"/>
        <v>0</v>
      </c>
      <c r="L80" s="17">
        <f t="shared" si="23"/>
        <v>0</v>
      </c>
      <c r="M80" s="17">
        <f t="shared" si="23"/>
        <v>0</v>
      </c>
      <c r="N80" s="22">
        <f t="shared" si="22"/>
        <v>0</v>
      </c>
      <c r="O80" s="17">
        <f t="shared" si="23"/>
        <v>0</v>
      </c>
      <c r="P80" s="17">
        <f t="shared" si="23"/>
        <v>0</v>
      </c>
      <c r="Q80" s="17">
        <f t="shared" si="23"/>
        <v>0</v>
      </c>
      <c r="R80" s="17">
        <f t="shared" si="23"/>
        <v>0</v>
      </c>
      <c r="S80" s="17">
        <f t="shared" si="23"/>
        <v>0</v>
      </c>
      <c r="T80" s="17">
        <f t="shared" si="23"/>
        <v>0</v>
      </c>
      <c r="U80" s="17">
        <f t="shared" si="23"/>
        <v>0</v>
      </c>
      <c r="V80" s="17">
        <f t="shared" si="23"/>
        <v>0</v>
      </c>
    </row>
    <row r="81" spans="2:22" hidden="1">
      <c r="B81" s="437" t="s">
        <v>63</v>
      </c>
      <c r="C81" s="35" t="s">
        <v>49</v>
      </c>
      <c r="D81" s="16" t="s">
        <v>62</v>
      </c>
      <c r="E81" s="22"/>
      <c r="F81" s="22"/>
      <c r="G81" s="22"/>
      <c r="H81" s="22"/>
      <c r="I81" s="22"/>
      <c r="J81" s="22"/>
      <c r="K81" s="22"/>
      <c r="L81" s="22"/>
      <c r="M81" s="22"/>
      <c r="N81" s="22">
        <f t="shared" si="22"/>
        <v>0</v>
      </c>
      <c r="O81" s="22"/>
      <c r="P81" s="22"/>
      <c r="Q81" s="22"/>
      <c r="R81" s="22"/>
      <c r="S81" s="22"/>
      <c r="T81" s="22"/>
      <c r="U81" s="22"/>
      <c r="V81" s="22"/>
    </row>
    <row r="82" spans="2:22" hidden="1">
      <c r="B82" s="437" t="s">
        <v>64</v>
      </c>
      <c r="C82" s="35" t="s">
        <v>51</v>
      </c>
      <c r="D82" s="16" t="s">
        <v>62</v>
      </c>
      <c r="E82" s="22"/>
      <c r="F82" s="22"/>
      <c r="G82" s="22"/>
      <c r="H82" s="22"/>
      <c r="I82" s="22"/>
      <c r="J82" s="22"/>
      <c r="K82" s="22"/>
      <c r="L82" s="22"/>
      <c r="M82" s="22"/>
      <c r="N82" s="22">
        <f t="shared" si="22"/>
        <v>0</v>
      </c>
      <c r="O82" s="22"/>
      <c r="P82" s="22"/>
      <c r="Q82" s="22"/>
      <c r="R82" s="22"/>
      <c r="S82" s="22"/>
      <c r="T82" s="22"/>
      <c r="U82" s="22"/>
      <c r="V82" s="22"/>
    </row>
    <row r="83" spans="2:22" hidden="1">
      <c r="B83" s="437" t="s">
        <v>65</v>
      </c>
      <c r="C83" s="35" t="s">
        <v>53</v>
      </c>
      <c r="D83" s="16" t="s">
        <v>62</v>
      </c>
      <c r="E83" s="22"/>
      <c r="F83" s="22"/>
      <c r="G83" s="22"/>
      <c r="H83" s="22"/>
      <c r="I83" s="22"/>
      <c r="J83" s="22"/>
      <c r="K83" s="22"/>
      <c r="L83" s="22"/>
      <c r="M83" s="22"/>
      <c r="N83" s="22">
        <f t="shared" si="22"/>
        <v>0</v>
      </c>
      <c r="O83" s="22"/>
      <c r="P83" s="22"/>
      <c r="Q83" s="22"/>
      <c r="R83" s="22"/>
      <c r="S83" s="22"/>
      <c r="T83" s="22"/>
      <c r="U83" s="22"/>
      <c r="V83" s="22"/>
    </row>
    <row r="84" spans="2:22" hidden="1">
      <c r="B84" s="437" t="s">
        <v>66</v>
      </c>
      <c r="C84" s="35" t="s">
        <v>55</v>
      </c>
      <c r="D84" s="16" t="s">
        <v>62</v>
      </c>
      <c r="E84" s="22"/>
      <c r="F84" s="22"/>
      <c r="G84" s="22"/>
      <c r="H84" s="22"/>
      <c r="I84" s="22"/>
      <c r="J84" s="22"/>
      <c r="K84" s="22"/>
      <c r="L84" s="22"/>
      <c r="M84" s="22"/>
      <c r="N84" s="22">
        <f t="shared" si="22"/>
        <v>0</v>
      </c>
      <c r="O84" s="22"/>
      <c r="P84" s="22"/>
      <c r="Q84" s="22"/>
      <c r="R84" s="22"/>
      <c r="S84" s="22"/>
      <c r="T84" s="22"/>
      <c r="U84" s="22"/>
      <c r="V84" s="22"/>
    </row>
    <row r="85" spans="2:22" hidden="1">
      <c r="B85" s="437" t="s">
        <v>67</v>
      </c>
      <c r="C85" s="35" t="s">
        <v>68</v>
      </c>
      <c r="D85" s="16" t="s">
        <v>62</v>
      </c>
      <c r="E85" s="22"/>
      <c r="F85" s="22"/>
      <c r="G85" s="22"/>
      <c r="H85" s="22"/>
      <c r="I85" s="22"/>
      <c r="J85" s="22"/>
      <c r="K85" s="22"/>
      <c r="L85" s="22"/>
      <c r="M85" s="22"/>
      <c r="N85" s="22">
        <f t="shared" si="22"/>
        <v>0</v>
      </c>
      <c r="O85" s="22"/>
      <c r="P85" s="22"/>
      <c r="Q85" s="22"/>
      <c r="R85" s="22"/>
      <c r="S85" s="22"/>
      <c r="T85" s="22"/>
      <c r="U85" s="22"/>
      <c r="V85" s="22"/>
    </row>
    <row r="86" spans="2:22" hidden="1">
      <c r="B86" s="437" t="s">
        <v>69</v>
      </c>
      <c r="C86" s="34" t="s">
        <v>70</v>
      </c>
      <c r="D86" s="16" t="s">
        <v>47</v>
      </c>
      <c r="E86" s="17">
        <f t="shared" ref="E86:V86" si="24">SUM(E87:E91)</f>
        <v>0</v>
      </c>
      <c r="F86" s="17">
        <f t="shared" si="24"/>
        <v>0</v>
      </c>
      <c r="G86" s="17">
        <f t="shared" si="24"/>
        <v>0</v>
      </c>
      <c r="H86" s="17">
        <f t="shared" si="24"/>
        <v>0</v>
      </c>
      <c r="I86" s="17">
        <f t="shared" si="24"/>
        <v>0</v>
      </c>
      <c r="J86" s="17">
        <f t="shared" si="24"/>
        <v>0</v>
      </c>
      <c r="K86" s="17">
        <f t="shared" si="24"/>
        <v>0</v>
      </c>
      <c r="L86" s="17">
        <f t="shared" si="24"/>
        <v>0</v>
      </c>
      <c r="M86" s="17">
        <f t="shared" si="24"/>
        <v>0</v>
      </c>
      <c r="N86" s="22">
        <f t="shared" si="22"/>
        <v>0</v>
      </c>
      <c r="O86" s="17">
        <f t="shared" si="24"/>
        <v>0</v>
      </c>
      <c r="P86" s="17">
        <f t="shared" si="24"/>
        <v>0</v>
      </c>
      <c r="Q86" s="17">
        <f t="shared" si="24"/>
        <v>0</v>
      </c>
      <c r="R86" s="17">
        <f t="shared" si="24"/>
        <v>0</v>
      </c>
      <c r="S86" s="17">
        <f t="shared" si="24"/>
        <v>0</v>
      </c>
      <c r="T86" s="17">
        <f t="shared" si="24"/>
        <v>0</v>
      </c>
      <c r="U86" s="17">
        <f t="shared" si="24"/>
        <v>0</v>
      </c>
      <c r="V86" s="17">
        <f t="shared" si="24"/>
        <v>0</v>
      </c>
    </row>
    <row r="87" spans="2:22" hidden="1">
      <c r="B87" s="437" t="s">
        <v>71</v>
      </c>
      <c r="C87" s="35" t="s">
        <v>49</v>
      </c>
      <c r="D87" s="16" t="s">
        <v>47</v>
      </c>
      <c r="E87" s="22"/>
      <c r="F87" s="22"/>
      <c r="G87" s="22"/>
      <c r="H87" s="22"/>
      <c r="I87" s="22"/>
      <c r="J87" s="22"/>
      <c r="K87" s="22"/>
      <c r="L87" s="22"/>
      <c r="M87" s="22"/>
      <c r="N87" s="22">
        <f t="shared" si="22"/>
        <v>0</v>
      </c>
      <c r="O87" s="22"/>
      <c r="P87" s="22"/>
      <c r="Q87" s="22"/>
      <c r="R87" s="22"/>
      <c r="S87" s="22"/>
      <c r="T87" s="22"/>
      <c r="U87" s="22"/>
      <c r="V87" s="22"/>
    </row>
    <row r="88" spans="2:22" hidden="1">
      <c r="B88" s="437" t="s">
        <v>72</v>
      </c>
      <c r="C88" s="35" t="s">
        <v>51</v>
      </c>
      <c r="D88" s="16" t="s">
        <v>47</v>
      </c>
      <c r="E88" s="22"/>
      <c r="F88" s="22"/>
      <c r="G88" s="22"/>
      <c r="H88" s="22"/>
      <c r="I88" s="22"/>
      <c r="J88" s="22"/>
      <c r="K88" s="22"/>
      <c r="L88" s="22"/>
      <c r="M88" s="22"/>
      <c r="N88" s="22">
        <f t="shared" si="22"/>
        <v>0</v>
      </c>
      <c r="O88" s="22"/>
      <c r="P88" s="22"/>
      <c r="Q88" s="22"/>
      <c r="R88" s="22"/>
      <c r="S88" s="22"/>
      <c r="T88" s="22"/>
      <c r="U88" s="22"/>
      <c r="V88" s="22"/>
    </row>
    <row r="89" spans="2:22" hidden="1">
      <c r="B89" s="437" t="s">
        <v>73</v>
      </c>
      <c r="C89" s="35" t="s">
        <v>53</v>
      </c>
      <c r="D89" s="16" t="s">
        <v>47</v>
      </c>
      <c r="E89" s="22"/>
      <c r="F89" s="22"/>
      <c r="G89" s="22"/>
      <c r="H89" s="22"/>
      <c r="I89" s="22"/>
      <c r="J89" s="22"/>
      <c r="K89" s="22"/>
      <c r="L89" s="22"/>
      <c r="M89" s="22"/>
      <c r="N89" s="22">
        <f t="shared" si="22"/>
        <v>0</v>
      </c>
      <c r="O89" s="22"/>
      <c r="P89" s="22"/>
      <c r="Q89" s="22"/>
      <c r="R89" s="22"/>
      <c r="S89" s="22"/>
      <c r="T89" s="22"/>
      <c r="U89" s="22"/>
      <c r="V89" s="22"/>
    </row>
    <row r="90" spans="2:22" hidden="1">
      <c r="B90" s="437" t="s">
        <v>74</v>
      </c>
      <c r="C90" s="35" t="s">
        <v>55</v>
      </c>
      <c r="D90" s="16" t="s">
        <v>47</v>
      </c>
      <c r="E90" s="22"/>
      <c r="F90" s="22"/>
      <c r="G90" s="22"/>
      <c r="H90" s="22"/>
      <c r="I90" s="22"/>
      <c r="J90" s="22"/>
      <c r="K90" s="22"/>
      <c r="L90" s="22"/>
      <c r="M90" s="22"/>
      <c r="N90" s="22">
        <f t="shared" si="22"/>
        <v>0</v>
      </c>
      <c r="O90" s="22"/>
      <c r="P90" s="22"/>
      <c r="Q90" s="22"/>
      <c r="R90" s="22"/>
      <c r="S90" s="22"/>
      <c r="T90" s="22"/>
      <c r="U90" s="22"/>
      <c r="V90" s="22"/>
    </row>
    <row r="91" spans="2:22">
      <c r="B91" s="437" t="s">
        <v>75</v>
      </c>
      <c r="C91" s="35" t="s">
        <v>68</v>
      </c>
      <c r="D91" s="16" t="s">
        <v>47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2:22" ht="21">
      <c r="B92" s="437" t="s">
        <v>76</v>
      </c>
      <c r="C92" s="438" t="s">
        <v>77</v>
      </c>
      <c r="D92" s="16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2:22">
      <c r="B93" s="437" t="s">
        <v>78</v>
      </c>
      <c r="C93" s="32" t="s">
        <v>79</v>
      </c>
      <c r="D93" s="16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2:22">
      <c r="B94" s="437" t="s">
        <v>80</v>
      </c>
      <c r="C94" s="34" t="s">
        <v>49</v>
      </c>
      <c r="D94" s="16" t="s">
        <v>81</v>
      </c>
      <c r="E94" s="22">
        <v>4.24</v>
      </c>
      <c r="F94" s="22">
        <v>4.0999999999999996</v>
      </c>
      <c r="G94" s="22">
        <v>4.5759999999999996</v>
      </c>
      <c r="H94" s="22">
        <v>4.3622399999999999</v>
      </c>
      <c r="I94" s="22">
        <v>4.8780000000000001</v>
      </c>
      <c r="J94" s="22">
        <v>4.5999999999999996</v>
      </c>
      <c r="K94" s="22">
        <f>I94*$K$67</f>
        <v>6.2087744970000003</v>
      </c>
      <c r="L94" s="22">
        <f>5.514978976</f>
        <v>5.5149789760000001</v>
      </c>
      <c r="M94" s="22">
        <v>6.0140000000000002</v>
      </c>
      <c r="N94" s="22">
        <v>5.5616469999999998</v>
      </c>
      <c r="O94" s="22">
        <v>6.6849999999999996</v>
      </c>
      <c r="P94" s="22">
        <v>5.7674279389999992</v>
      </c>
      <c r="Q94" s="22">
        <v>7.3529999999999998</v>
      </c>
      <c r="R94" s="22"/>
      <c r="S94" s="22">
        <v>8.0879999999999992</v>
      </c>
      <c r="T94" s="22"/>
      <c r="U94" s="22">
        <v>8.8970000000000002</v>
      </c>
      <c r="V94" s="22"/>
    </row>
    <row r="95" spans="2:22">
      <c r="B95" s="437" t="s">
        <v>82</v>
      </c>
      <c r="C95" s="34" t="s">
        <v>51</v>
      </c>
      <c r="D95" s="16" t="s">
        <v>81</v>
      </c>
      <c r="E95" s="22">
        <v>3.12</v>
      </c>
      <c r="F95" s="22">
        <v>2.98</v>
      </c>
      <c r="G95" s="22">
        <v>3.3580000000000001</v>
      </c>
      <c r="H95" s="22">
        <v>3.2130000000000001</v>
      </c>
      <c r="I95" s="22">
        <v>3.58</v>
      </c>
      <c r="J95" s="22">
        <v>3.27</v>
      </c>
      <c r="K95" s="22">
        <f>I95*$K$67</f>
        <v>4.5566651699999996</v>
      </c>
      <c r="L95" s="22">
        <v>3.6351268800000001</v>
      </c>
      <c r="M95" s="22">
        <v>4.0880000000000001</v>
      </c>
      <c r="N95" s="22">
        <v>3.6459709999999999</v>
      </c>
      <c r="O95" s="22">
        <v>4.5419999999999998</v>
      </c>
      <c r="P95" s="22">
        <v>3.7808719269999997</v>
      </c>
      <c r="Q95" s="22">
        <v>4.875</v>
      </c>
      <c r="R95" s="22"/>
      <c r="S95" s="22">
        <v>5.4960000000000004</v>
      </c>
      <c r="T95" s="22"/>
      <c r="U95" s="22">
        <v>6.0460000000000003</v>
      </c>
      <c r="V95" s="22"/>
    </row>
    <row r="96" spans="2:22">
      <c r="B96" s="437" t="s">
        <v>83</v>
      </c>
      <c r="C96" s="34" t="s">
        <v>53</v>
      </c>
      <c r="D96" s="16" t="s">
        <v>81</v>
      </c>
      <c r="E96" s="22"/>
      <c r="F96" s="22">
        <v>2.8559999999999999</v>
      </c>
      <c r="G96" s="22">
        <v>0</v>
      </c>
      <c r="H96" s="22">
        <v>3.0165999999999999</v>
      </c>
      <c r="I96" s="22">
        <v>3.600015</v>
      </c>
      <c r="J96" s="22">
        <v>3.2104149999999998</v>
      </c>
      <c r="K96" s="22">
        <f>I96*$K$67</f>
        <v>4.5821404921725</v>
      </c>
      <c r="L96" s="22">
        <v>3.438002</v>
      </c>
      <c r="M96" s="22">
        <v>3.7702</v>
      </c>
      <c r="N96" s="22">
        <f>3.4419999</f>
        <v>3.4419998999999999</v>
      </c>
      <c r="O96" s="22">
        <v>4.18</v>
      </c>
      <c r="P96" s="22">
        <v>3.5693538962999996</v>
      </c>
      <c r="Q96" s="22">
        <v>4.5980999999999996</v>
      </c>
      <c r="R96" s="22"/>
      <c r="S96" s="22">
        <v>5.0578000000000003</v>
      </c>
      <c r="T96" s="22"/>
      <c r="U96" s="22">
        <v>5.5636000000000001</v>
      </c>
      <c r="V96" s="22"/>
    </row>
    <row r="97" spans="2:22">
      <c r="B97" s="437" t="s">
        <v>84</v>
      </c>
      <c r="C97" s="34" t="s">
        <v>55</v>
      </c>
      <c r="D97" s="16" t="s">
        <v>81</v>
      </c>
      <c r="E97" s="22">
        <v>2.66</v>
      </c>
      <c r="F97" s="22">
        <v>2.5852900000000001</v>
      </c>
      <c r="G97" s="22">
        <v>2.863</v>
      </c>
      <c r="H97" s="22">
        <v>2.8069999999999999</v>
      </c>
      <c r="I97" s="22">
        <v>3.052</v>
      </c>
      <c r="J97" s="22">
        <v>3.0950000000000002</v>
      </c>
      <c r="K97" s="22">
        <f>I97*$K$67</f>
        <v>3.884620698</v>
      </c>
      <c r="L97" s="22">
        <v>3.4191259999999999</v>
      </c>
      <c r="M97" s="22">
        <v>3.7702</v>
      </c>
      <c r="N97" s="22">
        <v>3.3559990000000002</v>
      </c>
      <c r="O97" s="22">
        <v>4.4000000000000004</v>
      </c>
      <c r="P97" s="22">
        <v>3.480170963</v>
      </c>
      <c r="Q97" s="22">
        <v>4.84</v>
      </c>
      <c r="R97" s="22"/>
      <c r="S97" s="22">
        <v>5.3239999999999998</v>
      </c>
      <c r="T97" s="22"/>
      <c r="U97" s="22">
        <v>5.8559999999999999</v>
      </c>
      <c r="V97" s="22"/>
    </row>
    <row r="98" spans="2:22" ht="21" hidden="1">
      <c r="B98" s="437" t="s">
        <v>85</v>
      </c>
      <c r="C98" s="34" t="s">
        <v>57</v>
      </c>
      <c r="D98" s="16" t="s">
        <v>81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>
        <f t="shared" ref="O98:O110" si="25">M98*$O$67</f>
        <v>0</v>
      </c>
      <c r="P98" s="22">
        <f t="shared" ref="P98:P110" si="26">N98*$O$67</f>
        <v>0</v>
      </c>
      <c r="Q98" s="22"/>
      <c r="R98" s="22"/>
      <c r="S98" s="22">
        <f t="shared" ref="S98:S110" si="27">Q98*S71</f>
        <v>0</v>
      </c>
      <c r="T98" s="22"/>
      <c r="U98" s="22"/>
      <c r="V98" s="22"/>
    </row>
    <row r="99" spans="2:22" ht="31.5" hidden="1">
      <c r="B99" s="437" t="s">
        <v>86</v>
      </c>
      <c r="C99" s="34" t="s">
        <v>87</v>
      </c>
      <c r="D99" s="16" t="s">
        <v>81</v>
      </c>
      <c r="E99" s="17">
        <f t="shared" ref="E99:V99" si="28">IF(E73=0,0,E113/E73)</f>
        <v>3.171292079550966</v>
      </c>
      <c r="F99" s="17">
        <f t="shared" si="28"/>
        <v>3.0134745111070314</v>
      </c>
      <c r="G99" s="17">
        <f t="shared" si="28"/>
        <v>3.411816784030874</v>
      </c>
      <c r="H99" s="17">
        <f t="shared" si="28"/>
        <v>3.1430116532974401</v>
      </c>
      <c r="I99" s="17">
        <f t="shared" si="28"/>
        <v>3.6072504886011738</v>
      </c>
      <c r="J99" s="17">
        <f t="shared" si="28"/>
        <v>3.2291972594834593</v>
      </c>
      <c r="K99" s="17">
        <f t="shared" si="28"/>
        <v>4.5913499052721933</v>
      </c>
      <c r="L99" s="17">
        <f t="shared" si="28"/>
        <v>3.574474027955187</v>
      </c>
      <c r="M99" s="17">
        <f t="shared" si="28"/>
        <v>3.972756929763297</v>
      </c>
      <c r="N99" s="17">
        <f t="shared" si="28"/>
        <v>3.5821572480017791</v>
      </c>
      <c r="O99" s="22">
        <f t="shared" si="25"/>
        <v>4.1316672069538294</v>
      </c>
      <c r="P99" s="22">
        <f t="shared" si="26"/>
        <v>3.7254435379218505</v>
      </c>
      <c r="Q99" s="17">
        <f t="shared" si="28"/>
        <v>4.7970693797501962</v>
      </c>
      <c r="R99" s="17">
        <f t="shared" si="28"/>
        <v>0</v>
      </c>
      <c r="S99" s="22">
        <f t="shared" si="27"/>
        <v>0</v>
      </c>
      <c r="T99" s="17">
        <f t="shared" si="28"/>
        <v>0</v>
      </c>
      <c r="U99" s="17">
        <f t="shared" si="28"/>
        <v>5.8733026031744124</v>
      </c>
      <c r="V99" s="17">
        <f t="shared" si="28"/>
        <v>0</v>
      </c>
    </row>
    <row r="100" spans="2:22" hidden="1">
      <c r="B100" s="437" t="s">
        <v>88</v>
      </c>
      <c r="C100" s="32" t="s">
        <v>89</v>
      </c>
      <c r="D100" s="1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22">
        <f t="shared" si="25"/>
        <v>0</v>
      </c>
      <c r="P100" s="22">
        <f t="shared" si="26"/>
        <v>0</v>
      </c>
      <c r="Q100" s="30"/>
      <c r="R100" s="30"/>
      <c r="S100" s="22">
        <f t="shared" si="27"/>
        <v>0</v>
      </c>
      <c r="T100" s="30"/>
      <c r="U100" s="30"/>
      <c r="V100" s="30"/>
    </row>
    <row r="101" spans="2:22" ht="21" hidden="1">
      <c r="B101" s="437" t="s">
        <v>90</v>
      </c>
      <c r="C101" s="34" t="s">
        <v>91</v>
      </c>
      <c r="D101" s="16" t="s">
        <v>92</v>
      </c>
      <c r="E101" s="17">
        <f t="shared" ref="E101:V101" si="29">IF(E80=0,0,(E102*E81+E103*E82+E104*E83+E105*E84+E106*E85)/E80)</f>
        <v>0</v>
      </c>
      <c r="F101" s="17">
        <f t="shared" si="29"/>
        <v>0</v>
      </c>
      <c r="G101" s="17">
        <f t="shared" si="29"/>
        <v>0</v>
      </c>
      <c r="H101" s="17">
        <f t="shared" si="29"/>
        <v>0</v>
      </c>
      <c r="I101" s="17">
        <f t="shared" si="29"/>
        <v>0</v>
      </c>
      <c r="J101" s="17">
        <f t="shared" si="29"/>
        <v>0</v>
      </c>
      <c r="K101" s="17">
        <f t="shared" si="29"/>
        <v>0</v>
      </c>
      <c r="L101" s="17">
        <f t="shared" si="29"/>
        <v>0</v>
      </c>
      <c r="M101" s="17">
        <f t="shared" si="29"/>
        <v>0</v>
      </c>
      <c r="N101" s="17">
        <f t="shared" si="29"/>
        <v>0</v>
      </c>
      <c r="O101" s="22">
        <f t="shared" si="25"/>
        <v>0</v>
      </c>
      <c r="P101" s="22">
        <f t="shared" si="26"/>
        <v>0</v>
      </c>
      <c r="Q101" s="17">
        <f t="shared" si="29"/>
        <v>0</v>
      </c>
      <c r="R101" s="17">
        <f t="shared" si="29"/>
        <v>0</v>
      </c>
      <c r="S101" s="22">
        <f t="shared" si="27"/>
        <v>0</v>
      </c>
      <c r="T101" s="17">
        <f t="shared" si="29"/>
        <v>0</v>
      </c>
      <c r="U101" s="17">
        <f t="shared" si="29"/>
        <v>0</v>
      </c>
      <c r="V101" s="17">
        <f t="shared" si="29"/>
        <v>0</v>
      </c>
    </row>
    <row r="102" spans="2:22" ht="21" hidden="1">
      <c r="B102" s="437" t="s">
        <v>93</v>
      </c>
      <c r="C102" s="35" t="s">
        <v>49</v>
      </c>
      <c r="D102" s="16" t="s">
        <v>92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f t="shared" si="25"/>
        <v>0</v>
      </c>
      <c r="P102" s="22">
        <f t="shared" si="26"/>
        <v>0</v>
      </c>
      <c r="Q102" s="22"/>
      <c r="R102" s="22"/>
      <c r="S102" s="22">
        <f t="shared" si="27"/>
        <v>0</v>
      </c>
      <c r="T102" s="22"/>
      <c r="U102" s="22"/>
      <c r="V102" s="22"/>
    </row>
    <row r="103" spans="2:22" ht="21" hidden="1">
      <c r="B103" s="437" t="s">
        <v>94</v>
      </c>
      <c r="C103" s="35" t="s">
        <v>51</v>
      </c>
      <c r="D103" s="16" t="s">
        <v>92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f t="shared" si="25"/>
        <v>0</v>
      </c>
      <c r="P103" s="22">
        <f t="shared" si="26"/>
        <v>0</v>
      </c>
      <c r="Q103" s="22"/>
      <c r="R103" s="22"/>
      <c r="S103" s="22">
        <f t="shared" si="27"/>
        <v>0</v>
      </c>
      <c r="T103" s="22"/>
      <c r="U103" s="22"/>
      <c r="V103" s="22"/>
    </row>
    <row r="104" spans="2:22" ht="21" hidden="1">
      <c r="B104" s="437" t="s">
        <v>95</v>
      </c>
      <c r="C104" s="35" t="s">
        <v>53</v>
      </c>
      <c r="D104" s="16" t="s">
        <v>92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f t="shared" si="25"/>
        <v>0</v>
      </c>
      <c r="P104" s="22">
        <f t="shared" si="26"/>
        <v>0</v>
      </c>
      <c r="Q104" s="22"/>
      <c r="R104" s="22"/>
      <c r="S104" s="22">
        <f t="shared" si="27"/>
        <v>0</v>
      </c>
      <c r="T104" s="22"/>
      <c r="U104" s="22"/>
      <c r="V104" s="22"/>
    </row>
    <row r="105" spans="2:22" ht="21" hidden="1">
      <c r="B105" s="437" t="s">
        <v>96</v>
      </c>
      <c r="C105" s="35" t="s">
        <v>55</v>
      </c>
      <c r="D105" s="16" t="s">
        <v>92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>
        <f t="shared" si="25"/>
        <v>0</v>
      </c>
      <c r="P105" s="22">
        <f t="shared" si="26"/>
        <v>0</v>
      </c>
      <c r="Q105" s="22"/>
      <c r="R105" s="22"/>
      <c r="S105" s="22">
        <f t="shared" si="27"/>
        <v>0</v>
      </c>
      <c r="T105" s="22"/>
      <c r="U105" s="22"/>
      <c r="V105" s="22"/>
    </row>
    <row r="106" spans="2:22" ht="21" hidden="1">
      <c r="B106" s="437" t="s">
        <v>97</v>
      </c>
      <c r="C106" s="35" t="s">
        <v>68</v>
      </c>
      <c r="D106" s="16" t="s">
        <v>92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f t="shared" si="25"/>
        <v>0</v>
      </c>
      <c r="P106" s="22">
        <f t="shared" si="26"/>
        <v>0</v>
      </c>
      <c r="Q106" s="22"/>
      <c r="R106" s="22"/>
      <c r="S106" s="22">
        <f t="shared" si="27"/>
        <v>0</v>
      </c>
      <c r="T106" s="22"/>
      <c r="U106" s="22"/>
      <c r="V106" s="22"/>
    </row>
    <row r="107" spans="2:22" ht="21" hidden="1">
      <c r="B107" s="437" t="s">
        <v>98</v>
      </c>
      <c r="C107" s="34" t="s">
        <v>99</v>
      </c>
      <c r="D107" s="16" t="s">
        <v>100</v>
      </c>
      <c r="E107" s="17">
        <f t="shared" ref="E107:V107" si="30">IF(E86=0,0,(E108*E87+E109*E88+E110*E89+E111*E90+E112*E91)/E86)</f>
        <v>0</v>
      </c>
      <c r="F107" s="17">
        <f t="shared" si="30"/>
        <v>0</v>
      </c>
      <c r="G107" s="17">
        <f t="shared" si="30"/>
        <v>0</v>
      </c>
      <c r="H107" s="17">
        <f t="shared" si="30"/>
        <v>0</v>
      </c>
      <c r="I107" s="17">
        <f t="shared" si="30"/>
        <v>0</v>
      </c>
      <c r="J107" s="17">
        <f t="shared" si="30"/>
        <v>0</v>
      </c>
      <c r="K107" s="17">
        <f t="shared" si="30"/>
        <v>0</v>
      </c>
      <c r="L107" s="17">
        <f t="shared" si="30"/>
        <v>0</v>
      </c>
      <c r="M107" s="17">
        <f t="shared" si="30"/>
        <v>0</v>
      </c>
      <c r="N107" s="17">
        <f t="shared" si="30"/>
        <v>0</v>
      </c>
      <c r="O107" s="22">
        <f t="shared" si="25"/>
        <v>0</v>
      </c>
      <c r="P107" s="22">
        <f t="shared" si="26"/>
        <v>0</v>
      </c>
      <c r="Q107" s="17">
        <f t="shared" si="30"/>
        <v>0</v>
      </c>
      <c r="R107" s="17">
        <f t="shared" si="30"/>
        <v>0</v>
      </c>
      <c r="S107" s="22">
        <f t="shared" si="27"/>
        <v>0</v>
      </c>
      <c r="T107" s="17">
        <f t="shared" si="30"/>
        <v>0</v>
      </c>
      <c r="U107" s="17">
        <f t="shared" si="30"/>
        <v>0</v>
      </c>
      <c r="V107" s="17">
        <f t="shared" si="30"/>
        <v>0</v>
      </c>
    </row>
    <row r="108" spans="2:22" ht="21" hidden="1">
      <c r="B108" s="437" t="s">
        <v>101</v>
      </c>
      <c r="C108" s="35" t="s">
        <v>49</v>
      </c>
      <c r="D108" s="16" t="s">
        <v>100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>
        <f t="shared" si="25"/>
        <v>0</v>
      </c>
      <c r="P108" s="22">
        <f t="shared" si="26"/>
        <v>0</v>
      </c>
      <c r="Q108" s="22"/>
      <c r="R108" s="22"/>
      <c r="S108" s="22">
        <f t="shared" si="27"/>
        <v>0</v>
      </c>
      <c r="T108" s="22"/>
      <c r="U108" s="22"/>
      <c r="V108" s="22"/>
    </row>
    <row r="109" spans="2:22" ht="21" hidden="1">
      <c r="B109" s="437" t="s">
        <v>102</v>
      </c>
      <c r="C109" s="35" t="s">
        <v>51</v>
      </c>
      <c r="D109" s="16" t="s">
        <v>100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>
        <f t="shared" si="25"/>
        <v>0</v>
      </c>
      <c r="P109" s="22">
        <f t="shared" si="26"/>
        <v>0</v>
      </c>
      <c r="Q109" s="22"/>
      <c r="R109" s="22"/>
      <c r="S109" s="22">
        <f t="shared" si="27"/>
        <v>0</v>
      </c>
      <c r="T109" s="22"/>
      <c r="U109" s="22"/>
      <c r="V109" s="22"/>
    </row>
    <row r="110" spans="2:22" ht="21" hidden="1">
      <c r="B110" s="437" t="s">
        <v>103</v>
      </c>
      <c r="C110" s="35" t="s">
        <v>53</v>
      </c>
      <c r="D110" s="16" t="s">
        <v>100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f t="shared" si="25"/>
        <v>0</v>
      </c>
      <c r="P110" s="22">
        <f t="shared" si="26"/>
        <v>0</v>
      </c>
      <c r="Q110" s="22"/>
      <c r="R110" s="22"/>
      <c r="S110" s="22">
        <f t="shared" si="27"/>
        <v>0</v>
      </c>
      <c r="T110" s="22"/>
      <c r="U110" s="22"/>
      <c r="V110" s="22"/>
    </row>
    <row r="111" spans="2:22" ht="21">
      <c r="B111" s="437" t="s">
        <v>104</v>
      </c>
      <c r="C111" s="35" t="s">
        <v>55</v>
      </c>
      <c r="D111" s="16" t="s">
        <v>100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2:22" ht="21">
      <c r="B112" s="437" t="s">
        <v>105</v>
      </c>
      <c r="C112" s="35" t="s">
        <v>68</v>
      </c>
      <c r="D112" s="16" t="s">
        <v>100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2:22" ht="21">
      <c r="B113" s="437" t="s">
        <v>106</v>
      </c>
      <c r="C113" s="29" t="s">
        <v>107</v>
      </c>
      <c r="D113" s="16" t="s">
        <v>22</v>
      </c>
      <c r="E113" s="17">
        <f>SUM(E114:E118)-0.45</f>
        <v>22882.457999999995</v>
      </c>
      <c r="F113" s="17">
        <f t="shared" ref="F113:V113" si="31">SUM(F114:F118)</f>
        <v>24621.593493</v>
      </c>
      <c r="G113" s="17">
        <f t="shared" si="31"/>
        <v>24559.587820000001</v>
      </c>
      <c r="H113" s="17">
        <f t="shared" si="31"/>
        <v>54757.077572000002</v>
      </c>
      <c r="I113" s="17">
        <f t="shared" si="31"/>
        <v>133903.08204408333</v>
      </c>
      <c r="J113" s="17">
        <f t="shared" si="31"/>
        <v>69690.145648200007</v>
      </c>
      <c r="K113" s="17">
        <f t="shared" si="31"/>
        <v>170433.38271115278</v>
      </c>
      <c r="L113" s="17">
        <f t="shared" si="31"/>
        <v>76095.354769929283</v>
      </c>
      <c r="M113" s="17">
        <f t="shared" si="31"/>
        <v>84417.862851600017</v>
      </c>
      <c r="N113" s="17">
        <f t="shared" si="31"/>
        <v>69541.346686369652</v>
      </c>
      <c r="O113" s="17">
        <f t="shared" si="31"/>
        <v>95188.269725999984</v>
      </c>
      <c r="P113" s="17">
        <f t="shared" si="31"/>
        <v>76365.988461988483</v>
      </c>
      <c r="Q113" s="17">
        <f t="shared" si="31"/>
        <v>105536.874331</v>
      </c>
      <c r="R113" s="17">
        <f t="shared" si="31"/>
        <v>0</v>
      </c>
      <c r="S113" s="17">
        <f t="shared" si="31"/>
        <v>117511.037444</v>
      </c>
      <c r="T113" s="17">
        <f t="shared" si="31"/>
        <v>0</v>
      </c>
      <c r="U113" s="17">
        <f t="shared" si="31"/>
        <v>129268.75318299999</v>
      </c>
      <c r="V113" s="17">
        <f t="shared" si="31"/>
        <v>0</v>
      </c>
    </row>
    <row r="114" spans="2:22">
      <c r="B114" s="437" t="s">
        <v>108</v>
      </c>
      <c r="C114" s="32" t="s">
        <v>49</v>
      </c>
      <c r="D114" s="16" t="s">
        <v>22</v>
      </c>
      <c r="E114" s="17">
        <f>E74*E94</f>
        <v>3225.3680000000004</v>
      </c>
      <c r="F114" s="17">
        <f t="shared" ref="E114:V118" si="32">F74*F94</f>
        <v>2562.5</v>
      </c>
      <c r="G114" s="17">
        <f t="shared" si="32"/>
        <v>3401.7983999999997</v>
      </c>
      <c r="H114" s="17">
        <f t="shared" si="32"/>
        <v>2126.8101120000001</v>
      </c>
      <c r="I114" s="17">
        <f t="shared" si="32"/>
        <v>3626.3051999999998</v>
      </c>
      <c r="J114" s="17">
        <f t="shared" si="32"/>
        <v>1810.4679999999998</v>
      </c>
      <c r="K114" s="17">
        <f t="shared" si="32"/>
        <v>4615.6029610697997</v>
      </c>
      <c r="L114" s="17">
        <f t="shared" si="32"/>
        <v>2466.8500959647999</v>
      </c>
      <c r="M114" s="17">
        <f t="shared" si="32"/>
        <v>2741.9449780000004</v>
      </c>
      <c r="N114" s="17">
        <f>N74*N94-2.99</f>
        <v>2313.6301170241586</v>
      </c>
      <c r="O114" s="17">
        <f t="shared" si="32"/>
        <v>3056.22156</v>
      </c>
      <c r="P114" s="17">
        <f>P74*P94+31.38</f>
        <v>2394.6866734773753</v>
      </c>
      <c r="Q114" s="17">
        <f t="shared" si="32"/>
        <v>3352.431231</v>
      </c>
      <c r="R114" s="17">
        <f t="shared" si="32"/>
        <v>0</v>
      </c>
      <c r="S114" s="17">
        <f>S74*S94</f>
        <v>3687.5375759999997</v>
      </c>
      <c r="T114" s="17">
        <f t="shared" si="32"/>
        <v>0</v>
      </c>
      <c r="U114" s="17">
        <f t="shared" si="32"/>
        <v>4056.3825190000002</v>
      </c>
      <c r="V114" s="17">
        <f t="shared" si="32"/>
        <v>0</v>
      </c>
    </row>
    <row r="115" spans="2:22">
      <c r="B115" s="437" t="s">
        <v>109</v>
      </c>
      <c r="C115" s="32" t="s">
        <v>51</v>
      </c>
      <c r="D115" s="16" t="s">
        <v>22</v>
      </c>
      <c r="E115" s="17">
        <f t="shared" si="32"/>
        <v>16873.583999999999</v>
      </c>
      <c r="F115" s="17">
        <f t="shared" si="32"/>
        <v>18817.806</v>
      </c>
      <c r="G115" s="17">
        <f t="shared" si="32"/>
        <v>18161.373620000002</v>
      </c>
      <c r="H115" s="17">
        <f t="shared" si="32"/>
        <v>28887.440399999999</v>
      </c>
      <c r="I115" s="17">
        <f t="shared" si="32"/>
        <v>19361.356</v>
      </c>
      <c r="J115" s="17">
        <f t="shared" si="32"/>
        <v>0</v>
      </c>
      <c r="K115" s="17">
        <f t="shared" si="32"/>
        <v>24643.356572393997</v>
      </c>
      <c r="L115" s="17">
        <f t="shared" si="32"/>
        <v>36808.007951964486</v>
      </c>
      <c r="M115" s="17">
        <f>M75*M95+0.05</f>
        <v>42206.417952000003</v>
      </c>
      <c r="N115" s="17">
        <f t="shared" si="32"/>
        <v>34390.334061648333</v>
      </c>
      <c r="O115" s="17">
        <f t="shared" si="32"/>
        <v>47061.356165999998</v>
      </c>
      <c r="P115" s="17">
        <f t="shared" si="32"/>
        <v>34974.512340053894</v>
      </c>
      <c r="Q115" s="17">
        <f>Q75*Q95+3.839</f>
        <v>50393.525750000001</v>
      </c>
      <c r="R115" s="17">
        <f t="shared" si="32"/>
        <v>0</v>
      </c>
      <c r="S115" s="17">
        <f>S75*S95+0.598</f>
        <v>56854.607536000003</v>
      </c>
      <c r="T115" s="17">
        <f t="shared" si="32"/>
        <v>0</v>
      </c>
      <c r="U115" s="17">
        <f t="shared" si="32"/>
        <v>62549.594336000002</v>
      </c>
      <c r="V115" s="17">
        <f t="shared" si="32"/>
        <v>0</v>
      </c>
    </row>
    <row r="116" spans="2:22">
      <c r="B116" s="437" t="s">
        <v>110</v>
      </c>
      <c r="C116" s="32" t="s">
        <v>53</v>
      </c>
      <c r="D116" s="16" t="s">
        <v>22</v>
      </c>
      <c r="E116" s="17">
        <f t="shared" si="32"/>
        <v>0</v>
      </c>
      <c r="F116" s="17">
        <f t="shared" si="32"/>
        <v>625.74959999999999</v>
      </c>
      <c r="G116" s="17">
        <f t="shared" si="32"/>
        <v>0</v>
      </c>
      <c r="H116" s="17">
        <f t="shared" si="32"/>
        <v>20802.775260000002</v>
      </c>
      <c r="I116" s="17">
        <f t="shared" si="32"/>
        <v>107723.02884408334</v>
      </c>
      <c r="J116" s="17">
        <f t="shared" si="32"/>
        <v>64083.350648200001</v>
      </c>
      <c r="K116" s="17">
        <f t="shared" si="32"/>
        <v>137111.10992758098</v>
      </c>
      <c r="L116" s="17">
        <f t="shared" si="32"/>
        <v>33241.697537799999</v>
      </c>
      <c r="M116" s="17">
        <f t="shared" si="32"/>
        <v>35489.269619999999</v>
      </c>
      <c r="N116" s="17">
        <f t="shared" si="32"/>
        <v>29600.538826739186</v>
      </c>
      <c r="O116" s="17">
        <f>O76*O96-3.15</f>
        <v>40412.851999999992</v>
      </c>
      <c r="P116" s="17">
        <f t="shared" si="32"/>
        <v>35659.920789166463</v>
      </c>
      <c r="Q116" s="17">
        <f>Q76*Q96</f>
        <v>46681.290629999996</v>
      </c>
      <c r="R116" s="17">
        <f t="shared" si="32"/>
        <v>0</v>
      </c>
      <c r="S116" s="17">
        <f>S76*S96</f>
        <v>51348.302940000001</v>
      </c>
      <c r="T116" s="17">
        <f t="shared" si="32"/>
        <v>0</v>
      </c>
      <c r="U116" s="17">
        <f>U76*U96-2.786</f>
        <v>56480.550279999996</v>
      </c>
      <c r="V116" s="17">
        <f t="shared" si="32"/>
        <v>0</v>
      </c>
    </row>
    <row r="117" spans="2:22">
      <c r="B117" s="437" t="s">
        <v>111</v>
      </c>
      <c r="C117" s="32" t="s">
        <v>55</v>
      </c>
      <c r="D117" s="16" t="s">
        <v>22</v>
      </c>
      <c r="E117" s="17">
        <f t="shared" si="32"/>
        <v>2783.9560000000001</v>
      </c>
      <c r="F117" s="17">
        <f t="shared" si="32"/>
        <v>2615.5378930000002</v>
      </c>
      <c r="G117" s="17">
        <f t="shared" si="32"/>
        <v>2996.4157999999998</v>
      </c>
      <c r="H117" s="17">
        <f t="shared" si="32"/>
        <v>2940.0518000000002</v>
      </c>
      <c r="I117" s="17">
        <f t="shared" si="32"/>
        <v>3192.3919999999998</v>
      </c>
      <c r="J117" s="17">
        <f t="shared" si="32"/>
        <v>3796.3269999999998</v>
      </c>
      <c r="K117" s="17">
        <f t="shared" si="32"/>
        <v>4063.3132501079999</v>
      </c>
      <c r="L117" s="17">
        <f t="shared" si="32"/>
        <v>3578.7991842000001</v>
      </c>
      <c r="M117" s="17">
        <f t="shared" si="32"/>
        <v>3980.2303016000005</v>
      </c>
      <c r="N117" s="17">
        <f t="shared" si="32"/>
        <v>3236.8436809579716</v>
      </c>
      <c r="O117" s="17">
        <f t="shared" si="32"/>
        <v>4657.84</v>
      </c>
      <c r="P117" s="17">
        <f t="shared" si="32"/>
        <v>3336.8686592907411</v>
      </c>
      <c r="Q117" s="17">
        <f t="shared" si="32"/>
        <v>5109.6267200000002</v>
      </c>
      <c r="R117" s="17">
        <f t="shared" si="32"/>
        <v>0</v>
      </c>
      <c r="S117" s="17">
        <f>S77*S97</f>
        <v>5620.5893919999999</v>
      </c>
      <c r="T117" s="17">
        <f t="shared" si="32"/>
        <v>0</v>
      </c>
      <c r="U117" s="17">
        <f t="shared" si="32"/>
        <v>6182.2260480000004</v>
      </c>
      <c r="V117" s="17">
        <f t="shared" si="32"/>
        <v>0</v>
      </c>
    </row>
    <row r="118" spans="2:22" ht="21">
      <c r="B118" s="437" t="s">
        <v>112</v>
      </c>
      <c r="C118" s="32" t="s">
        <v>57</v>
      </c>
      <c r="D118" s="16" t="s">
        <v>22</v>
      </c>
      <c r="E118" s="17">
        <f t="shared" si="32"/>
        <v>0</v>
      </c>
      <c r="F118" s="17">
        <f t="shared" si="32"/>
        <v>0</v>
      </c>
      <c r="G118" s="17">
        <f t="shared" si="32"/>
        <v>0</v>
      </c>
      <c r="H118" s="17">
        <f t="shared" si="32"/>
        <v>0</v>
      </c>
      <c r="I118" s="17">
        <f t="shared" si="32"/>
        <v>0</v>
      </c>
      <c r="J118" s="17">
        <f t="shared" si="32"/>
        <v>0</v>
      </c>
      <c r="K118" s="17">
        <f t="shared" si="32"/>
        <v>0</v>
      </c>
      <c r="L118" s="17">
        <f t="shared" si="32"/>
        <v>0</v>
      </c>
      <c r="M118" s="17">
        <f t="shared" si="32"/>
        <v>0</v>
      </c>
      <c r="N118" s="17">
        <f t="shared" si="32"/>
        <v>0</v>
      </c>
      <c r="O118" s="17">
        <f t="shared" si="32"/>
        <v>0</v>
      </c>
      <c r="P118" s="17">
        <f t="shared" si="32"/>
        <v>0</v>
      </c>
      <c r="Q118" s="17">
        <f t="shared" si="32"/>
        <v>0</v>
      </c>
      <c r="R118" s="17">
        <f t="shared" si="32"/>
        <v>0</v>
      </c>
      <c r="S118" s="17"/>
      <c r="T118" s="17">
        <f t="shared" si="32"/>
        <v>0</v>
      </c>
      <c r="U118" s="17">
        <f t="shared" si="32"/>
        <v>0</v>
      </c>
      <c r="V118" s="17">
        <f t="shared" si="32"/>
        <v>0</v>
      </c>
    </row>
    <row r="119" spans="2:22" ht="31.5">
      <c r="B119" s="437" t="s">
        <v>113</v>
      </c>
      <c r="C119" s="29" t="s">
        <v>114</v>
      </c>
      <c r="D119" s="16" t="s">
        <v>22</v>
      </c>
      <c r="E119" s="17">
        <f t="shared" ref="E119:V119" si="33">SUM(E120:E124)</f>
        <v>0</v>
      </c>
      <c r="F119" s="17">
        <f t="shared" si="33"/>
        <v>0</v>
      </c>
      <c r="G119" s="17">
        <f t="shared" si="33"/>
        <v>0</v>
      </c>
      <c r="H119" s="17">
        <f t="shared" si="33"/>
        <v>0</v>
      </c>
      <c r="I119" s="17">
        <f t="shared" si="33"/>
        <v>0</v>
      </c>
      <c r="J119" s="17">
        <f t="shared" si="33"/>
        <v>0</v>
      </c>
      <c r="K119" s="17">
        <f t="shared" si="33"/>
        <v>0</v>
      </c>
      <c r="L119" s="17">
        <f t="shared" si="33"/>
        <v>0</v>
      </c>
      <c r="M119" s="17">
        <f t="shared" si="33"/>
        <v>0</v>
      </c>
      <c r="N119" s="17">
        <f t="shared" si="33"/>
        <v>0</v>
      </c>
      <c r="O119" s="17">
        <f t="shared" si="33"/>
        <v>0</v>
      </c>
      <c r="P119" s="17">
        <f t="shared" si="33"/>
        <v>0</v>
      </c>
      <c r="Q119" s="17">
        <f t="shared" si="33"/>
        <v>0</v>
      </c>
      <c r="R119" s="17">
        <f t="shared" si="33"/>
        <v>0</v>
      </c>
      <c r="S119" s="17">
        <f t="shared" si="33"/>
        <v>0</v>
      </c>
      <c r="T119" s="17">
        <f t="shared" si="33"/>
        <v>0</v>
      </c>
      <c r="U119" s="17">
        <f t="shared" si="33"/>
        <v>0</v>
      </c>
      <c r="V119" s="17">
        <f t="shared" si="33"/>
        <v>0</v>
      </c>
    </row>
    <row r="120" spans="2:22">
      <c r="B120" s="437" t="s">
        <v>115</v>
      </c>
      <c r="C120" s="32" t="s">
        <v>49</v>
      </c>
      <c r="D120" s="16" t="s">
        <v>22</v>
      </c>
      <c r="E120" s="17">
        <f t="shared" ref="E120:V124" si="34">E81*E102/1000</f>
        <v>0</v>
      </c>
      <c r="F120" s="17">
        <f t="shared" si="34"/>
        <v>0</v>
      </c>
      <c r="G120" s="17">
        <f t="shared" si="34"/>
        <v>0</v>
      </c>
      <c r="H120" s="17">
        <f t="shared" si="34"/>
        <v>0</v>
      </c>
      <c r="I120" s="17">
        <f t="shared" si="34"/>
        <v>0</v>
      </c>
      <c r="J120" s="17">
        <f t="shared" si="34"/>
        <v>0</v>
      </c>
      <c r="K120" s="17">
        <f t="shared" si="34"/>
        <v>0</v>
      </c>
      <c r="L120" s="17">
        <f t="shared" si="34"/>
        <v>0</v>
      </c>
      <c r="M120" s="17">
        <f t="shared" si="34"/>
        <v>0</v>
      </c>
      <c r="N120" s="17">
        <f t="shared" si="34"/>
        <v>0</v>
      </c>
      <c r="O120" s="17">
        <f t="shared" si="34"/>
        <v>0</v>
      </c>
      <c r="P120" s="17">
        <f t="shared" si="34"/>
        <v>0</v>
      </c>
      <c r="Q120" s="17">
        <f t="shared" si="34"/>
        <v>0</v>
      </c>
      <c r="R120" s="17">
        <f t="shared" si="34"/>
        <v>0</v>
      </c>
      <c r="S120" s="17">
        <f t="shared" si="34"/>
        <v>0</v>
      </c>
      <c r="T120" s="17">
        <f t="shared" si="34"/>
        <v>0</v>
      </c>
      <c r="U120" s="17">
        <f t="shared" si="34"/>
        <v>0</v>
      </c>
      <c r="V120" s="17">
        <f t="shared" si="34"/>
        <v>0</v>
      </c>
    </row>
    <row r="121" spans="2:22">
      <c r="B121" s="437" t="s">
        <v>116</v>
      </c>
      <c r="C121" s="32" t="s">
        <v>51</v>
      </c>
      <c r="D121" s="16" t="s">
        <v>22</v>
      </c>
      <c r="E121" s="17">
        <f t="shared" si="34"/>
        <v>0</v>
      </c>
      <c r="F121" s="17">
        <f t="shared" si="34"/>
        <v>0</v>
      </c>
      <c r="G121" s="17">
        <f t="shared" si="34"/>
        <v>0</v>
      </c>
      <c r="H121" s="17">
        <f t="shared" si="34"/>
        <v>0</v>
      </c>
      <c r="I121" s="17">
        <f t="shared" si="34"/>
        <v>0</v>
      </c>
      <c r="J121" s="17">
        <f t="shared" si="34"/>
        <v>0</v>
      </c>
      <c r="K121" s="17">
        <f t="shared" si="34"/>
        <v>0</v>
      </c>
      <c r="L121" s="17">
        <f t="shared" si="34"/>
        <v>0</v>
      </c>
      <c r="M121" s="17">
        <f t="shared" si="34"/>
        <v>0</v>
      </c>
      <c r="N121" s="17">
        <f t="shared" si="34"/>
        <v>0</v>
      </c>
      <c r="O121" s="17">
        <f t="shared" si="34"/>
        <v>0</v>
      </c>
      <c r="P121" s="17">
        <f t="shared" si="34"/>
        <v>0</v>
      </c>
      <c r="Q121" s="17">
        <f t="shared" si="34"/>
        <v>0</v>
      </c>
      <c r="R121" s="17">
        <f t="shared" si="34"/>
        <v>0</v>
      </c>
      <c r="S121" s="17">
        <f t="shared" si="34"/>
        <v>0</v>
      </c>
      <c r="T121" s="17">
        <f t="shared" si="34"/>
        <v>0</v>
      </c>
      <c r="U121" s="17">
        <f t="shared" si="34"/>
        <v>0</v>
      </c>
      <c r="V121" s="17">
        <f t="shared" si="34"/>
        <v>0</v>
      </c>
    </row>
    <row r="122" spans="2:22">
      <c r="B122" s="437" t="s">
        <v>117</v>
      </c>
      <c r="C122" s="32" t="s">
        <v>53</v>
      </c>
      <c r="D122" s="16" t="s">
        <v>22</v>
      </c>
      <c r="E122" s="17">
        <f t="shared" si="34"/>
        <v>0</v>
      </c>
      <c r="F122" s="17">
        <f t="shared" si="34"/>
        <v>0</v>
      </c>
      <c r="G122" s="17">
        <f t="shared" si="34"/>
        <v>0</v>
      </c>
      <c r="H122" s="17">
        <f t="shared" si="34"/>
        <v>0</v>
      </c>
      <c r="I122" s="17">
        <f t="shared" si="34"/>
        <v>0</v>
      </c>
      <c r="J122" s="17">
        <f t="shared" si="34"/>
        <v>0</v>
      </c>
      <c r="K122" s="17">
        <f t="shared" si="34"/>
        <v>0</v>
      </c>
      <c r="L122" s="17">
        <f t="shared" si="34"/>
        <v>0</v>
      </c>
      <c r="M122" s="17">
        <f t="shared" si="34"/>
        <v>0</v>
      </c>
      <c r="N122" s="17">
        <f t="shared" si="34"/>
        <v>0</v>
      </c>
      <c r="O122" s="17">
        <f t="shared" si="34"/>
        <v>0</v>
      </c>
      <c r="P122" s="17">
        <f t="shared" si="34"/>
        <v>0</v>
      </c>
      <c r="Q122" s="17">
        <f t="shared" si="34"/>
        <v>0</v>
      </c>
      <c r="R122" s="17">
        <f t="shared" si="34"/>
        <v>0</v>
      </c>
      <c r="S122" s="17">
        <f t="shared" si="34"/>
        <v>0</v>
      </c>
      <c r="T122" s="17">
        <f t="shared" si="34"/>
        <v>0</v>
      </c>
      <c r="U122" s="17">
        <f t="shared" si="34"/>
        <v>0</v>
      </c>
      <c r="V122" s="17">
        <f t="shared" si="34"/>
        <v>0</v>
      </c>
    </row>
    <row r="123" spans="2:22">
      <c r="B123" s="437" t="s">
        <v>118</v>
      </c>
      <c r="C123" s="32" t="s">
        <v>55</v>
      </c>
      <c r="D123" s="16" t="s">
        <v>22</v>
      </c>
      <c r="E123" s="17">
        <f t="shared" si="34"/>
        <v>0</v>
      </c>
      <c r="F123" s="17">
        <f t="shared" si="34"/>
        <v>0</v>
      </c>
      <c r="G123" s="17">
        <f t="shared" si="34"/>
        <v>0</v>
      </c>
      <c r="H123" s="17">
        <f t="shared" si="34"/>
        <v>0</v>
      </c>
      <c r="I123" s="17">
        <f t="shared" si="34"/>
        <v>0</v>
      </c>
      <c r="J123" s="17">
        <f t="shared" si="34"/>
        <v>0</v>
      </c>
      <c r="K123" s="17">
        <f t="shared" si="34"/>
        <v>0</v>
      </c>
      <c r="L123" s="17">
        <f t="shared" si="34"/>
        <v>0</v>
      </c>
      <c r="M123" s="17">
        <f t="shared" si="34"/>
        <v>0</v>
      </c>
      <c r="N123" s="17">
        <f t="shared" si="34"/>
        <v>0</v>
      </c>
      <c r="O123" s="17">
        <f t="shared" si="34"/>
        <v>0</v>
      </c>
      <c r="P123" s="17">
        <f t="shared" si="34"/>
        <v>0</v>
      </c>
      <c r="Q123" s="17">
        <f t="shared" si="34"/>
        <v>0</v>
      </c>
      <c r="R123" s="17">
        <f t="shared" si="34"/>
        <v>0</v>
      </c>
      <c r="S123" s="17">
        <f t="shared" si="34"/>
        <v>0</v>
      </c>
      <c r="T123" s="17">
        <f t="shared" si="34"/>
        <v>0</v>
      </c>
      <c r="U123" s="17">
        <f t="shared" si="34"/>
        <v>0</v>
      </c>
      <c r="V123" s="17">
        <f t="shared" si="34"/>
        <v>0</v>
      </c>
    </row>
    <row r="124" spans="2:22">
      <c r="B124" s="437" t="s">
        <v>119</v>
      </c>
      <c r="C124" s="32" t="s">
        <v>68</v>
      </c>
      <c r="D124" s="16" t="s">
        <v>22</v>
      </c>
      <c r="E124" s="17">
        <f t="shared" si="34"/>
        <v>0</v>
      </c>
      <c r="F124" s="17">
        <f t="shared" si="34"/>
        <v>0</v>
      </c>
      <c r="G124" s="17">
        <f t="shared" si="34"/>
        <v>0</v>
      </c>
      <c r="H124" s="17">
        <f t="shared" si="34"/>
        <v>0</v>
      </c>
      <c r="I124" s="17">
        <f t="shared" si="34"/>
        <v>0</v>
      </c>
      <c r="J124" s="17">
        <f t="shared" si="34"/>
        <v>0</v>
      </c>
      <c r="K124" s="17">
        <f t="shared" si="34"/>
        <v>0</v>
      </c>
      <c r="L124" s="17">
        <f t="shared" si="34"/>
        <v>0</v>
      </c>
      <c r="M124" s="17">
        <f t="shared" si="34"/>
        <v>0</v>
      </c>
      <c r="N124" s="17">
        <f t="shared" si="34"/>
        <v>0</v>
      </c>
      <c r="O124" s="17">
        <f t="shared" si="34"/>
        <v>0</v>
      </c>
      <c r="P124" s="17">
        <f t="shared" si="34"/>
        <v>0</v>
      </c>
      <c r="Q124" s="17">
        <f t="shared" si="34"/>
        <v>0</v>
      </c>
      <c r="R124" s="17">
        <f t="shared" si="34"/>
        <v>0</v>
      </c>
      <c r="S124" s="17">
        <f t="shared" si="34"/>
        <v>0</v>
      </c>
      <c r="T124" s="17">
        <f t="shared" si="34"/>
        <v>0</v>
      </c>
      <c r="U124" s="17">
        <f t="shared" si="34"/>
        <v>0</v>
      </c>
      <c r="V124" s="17">
        <f t="shared" si="34"/>
        <v>0</v>
      </c>
    </row>
    <row r="125" spans="2:22" ht="21">
      <c r="B125" s="437" t="s">
        <v>120</v>
      </c>
      <c r="C125" s="29" t="s">
        <v>121</v>
      </c>
      <c r="D125" s="16" t="s">
        <v>22</v>
      </c>
      <c r="E125" s="17">
        <f t="shared" ref="E125:V125" si="35">SUM(E126:E130)</f>
        <v>0</v>
      </c>
      <c r="F125" s="17">
        <f t="shared" si="35"/>
        <v>0</v>
      </c>
      <c r="G125" s="17">
        <f t="shared" si="35"/>
        <v>0</v>
      </c>
      <c r="H125" s="17">
        <f t="shared" si="35"/>
        <v>0</v>
      </c>
      <c r="I125" s="17">
        <f t="shared" si="35"/>
        <v>0</v>
      </c>
      <c r="J125" s="17">
        <f t="shared" si="35"/>
        <v>0</v>
      </c>
      <c r="K125" s="17">
        <f t="shared" si="35"/>
        <v>0</v>
      </c>
      <c r="L125" s="17">
        <f t="shared" si="35"/>
        <v>0</v>
      </c>
      <c r="M125" s="17">
        <f t="shared" si="35"/>
        <v>0</v>
      </c>
      <c r="N125" s="17">
        <f t="shared" si="35"/>
        <v>0</v>
      </c>
      <c r="O125" s="17">
        <f t="shared" si="35"/>
        <v>0</v>
      </c>
      <c r="P125" s="17">
        <f t="shared" si="35"/>
        <v>0</v>
      </c>
      <c r="Q125" s="17">
        <f t="shared" si="35"/>
        <v>0</v>
      </c>
      <c r="R125" s="17">
        <f t="shared" si="35"/>
        <v>0</v>
      </c>
      <c r="S125" s="17">
        <f t="shared" si="35"/>
        <v>0</v>
      </c>
      <c r="T125" s="17">
        <f t="shared" si="35"/>
        <v>0</v>
      </c>
      <c r="U125" s="17">
        <f t="shared" si="35"/>
        <v>0</v>
      </c>
      <c r="V125" s="17">
        <f t="shared" si="35"/>
        <v>0</v>
      </c>
    </row>
    <row r="126" spans="2:22">
      <c r="B126" s="437" t="s">
        <v>122</v>
      </c>
      <c r="C126" s="32" t="s">
        <v>49</v>
      </c>
      <c r="D126" s="16" t="s">
        <v>22</v>
      </c>
      <c r="E126" s="17">
        <f t="shared" ref="E126:V130" si="36">E87*E108</f>
        <v>0</v>
      </c>
      <c r="F126" s="17">
        <f t="shared" si="36"/>
        <v>0</v>
      </c>
      <c r="G126" s="17">
        <f t="shared" si="36"/>
        <v>0</v>
      </c>
      <c r="H126" s="17">
        <f t="shared" si="36"/>
        <v>0</v>
      </c>
      <c r="I126" s="17">
        <f t="shared" si="36"/>
        <v>0</v>
      </c>
      <c r="J126" s="17">
        <f t="shared" si="36"/>
        <v>0</v>
      </c>
      <c r="K126" s="17">
        <f t="shared" si="36"/>
        <v>0</v>
      </c>
      <c r="L126" s="17">
        <f t="shared" si="36"/>
        <v>0</v>
      </c>
      <c r="M126" s="17">
        <f t="shared" si="36"/>
        <v>0</v>
      </c>
      <c r="N126" s="17">
        <f t="shared" si="36"/>
        <v>0</v>
      </c>
      <c r="O126" s="17">
        <f t="shared" si="36"/>
        <v>0</v>
      </c>
      <c r="P126" s="17">
        <f t="shared" si="36"/>
        <v>0</v>
      </c>
      <c r="Q126" s="17">
        <f t="shared" si="36"/>
        <v>0</v>
      </c>
      <c r="R126" s="17">
        <f t="shared" si="36"/>
        <v>0</v>
      </c>
      <c r="S126" s="17">
        <f t="shared" si="36"/>
        <v>0</v>
      </c>
      <c r="T126" s="17">
        <f t="shared" si="36"/>
        <v>0</v>
      </c>
      <c r="U126" s="17">
        <f t="shared" si="36"/>
        <v>0</v>
      </c>
      <c r="V126" s="17">
        <f t="shared" si="36"/>
        <v>0</v>
      </c>
    </row>
    <row r="127" spans="2:22">
      <c r="B127" s="437" t="s">
        <v>123</v>
      </c>
      <c r="C127" s="32" t="s">
        <v>51</v>
      </c>
      <c r="D127" s="16" t="s">
        <v>22</v>
      </c>
      <c r="E127" s="17">
        <f t="shared" si="36"/>
        <v>0</v>
      </c>
      <c r="F127" s="17">
        <f t="shared" si="36"/>
        <v>0</v>
      </c>
      <c r="G127" s="17">
        <f t="shared" si="36"/>
        <v>0</v>
      </c>
      <c r="H127" s="17">
        <f t="shared" si="36"/>
        <v>0</v>
      </c>
      <c r="I127" s="17">
        <f t="shared" si="36"/>
        <v>0</v>
      </c>
      <c r="J127" s="17">
        <f t="shared" si="36"/>
        <v>0</v>
      </c>
      <c r="K127" s="17">
        <f t="shared" si="36"/>
        <v>0</v>
      </c>
      <c r="L127" s="17">
        <f t="shared" si="36"/>
        <v>0</v>
      </c>
      <c r="M127" s="17">
        <f t="shared" si="36"/>
        <v>0</v>
      </c>
      <c r="N127" s="17">
        <f t="shared" si="36"/>
        <v>0</v>
      </c>
      <c r="O127" s="17">
        <f t="shared" si="36"/>
        <v>0</v>
      </c>
      <c r="P127" s="17">
        <f t="shared" si="36"/>
        <v>0</v>
      </c>
      <c r="Q127" s="17">
        <f t="shared" si="36"/>
        <v>0</v>
      </c>
      <c r="R127" s="17">
        <f t="shared" si="36"/>
        <v>0</v>
      </c>
      <c r="S127" s="17">
        <f t="shared" si="36"/>
        <v>0</v>
      </c>
      <c r="T127" s="17">
        <f t="shared" si="36"/>
        <v>0</v>
      </c>
      <c r="U127" s="17">
        <f t="shared" si="36"/>
        <v>0</v>
      </c>
      <c r="V127" s="17">
        <f t="shared" si="36"/>
        <v>0</v>
      </c>
    </row>
    <row r="128" spans="2:22">
      <c r="B128" s="437" t="s">
        <v>124</v>
      </c>
      <c r="C128" s="32" t="s">
        <v>53</v>
      </c>
      <c r="D128" s="16" t="s">
        <v>22</v>
      </c>
      <c r="E128" s="17">
        <f t="shared" si="36"/>
        <v>0</v>
      </c>
      <c r="F128" s="17">
        <f t="shared" si="36"/>
        <v>0</v>
      </c>
      <c r="G128" s="17">
        <f t="shared" si="36"/>
        <v>0</v>
      </c>
      <c r="H128" s="17">
        <f t="shared" si="36"/>
        <v>0</v>
      </c>
      <c r="I128" s="17">
        <f t="shared" si="36"/>
        <v>0</v>
      </c>
      <c r="J128" s="17">
        <f t="shared" si="36"/>
        <v>0</v>
      </c>
      <c r="K128" s="17">
        <f t="shared" si="36"/>
        <v>0</v>
      </c>
      <c r="L128" s="17">
        <f t="shared" si="36"/>
        <v>0</v>
      </c>
      <c r="M128" s="17">
        <f t="shared" si="36"/>
        <v>0</v>
      </c>
      <c r="N128" s="17">
        <f t="shared" si="36"/>
        <v>0</v>
      </c>
      <c r="O128" s="17">
        <f t="shared" si="36"/>
        <v>0</v>
      </c>
      <c r="P128" s="17">
        <f t="shared" si="36"/>
        <v>0</v>
      </c>
      <c r="Q128" s="17">
        <f t="shared" si="36"/>
        <v>0</v>
      </c>
      <c r="R128" s="17">
        <f t="shared" si="36"/>
        <v>0</v>
      </c>
      <c r="S128" s="17">
        <f t="shared" si="36"/>
        <v>0</v>
      </c>
      <c r="T128" s="17">
        <f t="shared" si="36"/>
        <v>0</v>
      </c>
      <c r="U128" s="17">
        <f t="shared" si="36"/>
        <v>0</v>
      </c>
      <c r="V128" s="17">
        <f t="shared" si="36"/>
        <v>0</v>
      </c>
    </row>
    <row r="129" spans="2:22">
      <c r="B129" s="437" t="s">
        <v>125</v>
      </c>
      <c r="C129" s="32" t="s">
        <v>55</v>
      </c>
      <c r="D129" s="16" t="s">
        <v>22</v>
      </c>
      <c r="E129" s="17">
        <f t="shared" si="36"/>
        <v>0</v>
      </c>
      <c r="F129" s="17">
        <f t="shared" si="36"/>
        <v>0</v>
      </c>
      <c r="G129" s="17">
        <f t="shared" si="36"/>
        <v>0</v>
      </c>
      <c r="H129" s="17">
        <f t="shared" si="36"/>
        <v>0</v>
      </c>
      <c r="I129" s="17">
        <f t="shared" si="36"/>
        <v>0</v>
      </c>
      <c r="J129" s="17">
        <f t="shared" si="36"/>
        <v>0</v>
      </c>
      <c r="K129" s="17">
        <f t="shared" si="36"/>
        <v>0</v>
      </c>
      <c r="L129" s="17">
        <f t="shared" si="36"/>
        <v>0</v>
      </c>
      <c r="M129" s="17">
        <f t="shared" si="36"/>
        <v>0</v>
      </c>
      <c r="N129" s="17">
        <f t="shared" si="36"/>
        <v>0</v>
      </c>
      <c r="O129" s="17">
        <f t="shared" si="36"/>
        <v>0</v>
      </c>
      <c r="P129" s="17">
        <f t="shared" si="36"/>
        <v>0</v>
      </c>
      <c r="Q129" s="17">
        <f t="shared" si="36"/>
        <v>0</v>
      </c>
      <c r="R129" s="17">
        <f t="shared" si="36"/>
        <v>0</v>
      </c>
      <c r="S129" s="17">
        <f t="shared" si="36"/>
        <v>0</v>
      </c>
      <c r="T129" s="17">
        <f t="shared" si="36"/>
        <v>0</v>
      </c>
      <c r="U129" s="17">
        <f t="shared" si="36"/>
        <v>0</v>
      </c>
      <c r="V129" s="17">
        <f t="shared" si="36"/>
        <v>0</v>
      </c>
    </row>
    <row r="130" spans="2:22">
      <c r="B130" s="437" t="s">
        <v>126</v>
      </c>
      <c r="C130" s="32" t="s">
        <v>68</v>
      </c>
      <c r="D130" s="16" t="s">
        <v>22</v>
      </c>
      <c r="E130" s="17">
        <f t="shared" si="36"/>
        <v>0</v>
      </c>
      <c r="F130" s="17">
        <f t="shared" si="36"/>
        <v>0</v>
      </c>
      <c r="G130" s="17">
        <f t="shared" si="36"/>
        <v>0</v>
      </c>
      <c r="H130" s="17">
        <f t="shared" si="36"/>
        <v>0</v>
      </c>
      <c r="I130" s="17">
        <f t="shared" si="36"/>
        <v>0</v>
      </c>
      <c r="J130" s="17">
        <f t="shared" si="36"/>
        <v>0</v>
      </c>
      <c r="K130" s="17">
        <f t="shared" si="36"/>
        <v>0</v>
      </c>
      <c r="L130" s="17">
        <f t="shared" si="36"/>
        <v>0</v>
      </c>
      <c r="M130" s="17">
        <f t="shared" si="36"/>
        <v>0</v>
      </c>
      <c r="N130" s="17">
        <f t="shared" si="36"/>
        <v>0</v>
      </c>
      <c r="O130" s="17">
        <f t="shared" si="36"/>
        <v>0</v>
      </c>
      <c r="P130" s="17">
        <f t="shared" si="36"/>
        <v>0</v>
      </c>
      <c r="Q130" s="17">
        <f t="shared" si="36"/>
        <v>0</v>
      </c>
      <c r="R130" s="17">
        <f t="shared" si="36"/>
        <v>0</v>
      </c>
      <c r="S130" s="17">
        <f t="shared" si="36"/>
        <v>0</v>
      </c>
      <c r="T130" s="17">
        <f t="shared" si="36"/>
        <v>0</v>
      </c>
      <c r="U130" s="17">
        <f t="shared" si="36"/>
        <v>0</v>
      </c>
      <c r="V130" s="17">
        <f t="shared" si="36"/>
        <v>0</v>
      </c>
    </row>
    <row r="131" spans="2:22" ht="25.5">
      <c r="B131" s="437"/>
      <c r="C131" s="295" t="s">
        <v>947</v>
      </c>
      <c r="D131" s="420" t="s">
        <v>22</v>
      </c>
      <c r="E131" s="297">
        <f>SUM(E113,E119,E125)</f>
        <v>22882.457999999995</v>
      </c>
      <c r="F131" s="297">
        <f t="shared" ref="F131:V131" si="37">SUM(F113,F119,F125)</f>
        <v>24621.593493</v>
      </c>
      <c r="G131" s="297">
        <f t="shared" si="37"/>
        <v>24559.587820000001</v>
      </c>
      <c r="H131" s="297">
        <f t="shared" si="37"/>
        <v>54757.077572000002</v>
      </c>
      <c r="I131" s="297">
        <f t="shared" si="37"/>
        <v>133903.08204408333</v>
      </c>
      <c r="J131" s="297">
        <f t="shared" si="37"/>
        <v>69690.145648200007</v>
      </c>
      <c r="K131" s="297">
        <f t="shared" si="37"/>
        <v>170433.38271115278</v>
      </c>
      <c r="L131" s="297">
        <f t="shared" si="37"/>
        <v>76095.354769929283</v>
      </c>
      <c r="M131" s="297">
        <f t="shared" si="37"/>
        <v>84417.862851600017</v>
      </c>
      <c r="N131" s="297">
        <f t="shared" si="37"/>
        <v>69541.346686369652</v>
      </c>
      <c r="O131" s="297">
        <f t="shared" si="37"/>
        <v>95188.269725999984</v>
      </c>
      <c r="P131" s="297">
        <f t="shared" si="37"/>
        <v>76365.988461988483</v>
      </c>
      <c r="Q131" s="297">
        <f t="shared" si="37"/>
        <v>105536.874331</v>
      </c>
      <c r="R131" s="297">
        <f t="shared" si="37"/>
        <v>0</v>
      </c>
      <c r="S131" s="297">
        <f t="shared" si="37"/>
        <v>117511.037444</v>
      </c>
      <c r="T131" s="297">
        <f t="shared" si="37"/>
        <v>0</v>
      </c>
      <c r="U131" s="297">
        <f t="shared" si="37"/>
        <v>129268.75318299999</v>
      </c>
      <c r="V131" s="297">
        <f t="shared" si="37"/>
        <v>0</v>
      </c>
    </row>
    <row r="132" spans="2:22">
      <c r="B132" s="474"/>
      <c r="C132" s="475"/>
      <c r="D132" s="451"/>
      <c r="E132" s="476"/>
      <c r="F132" s="476"/>
      <c r="G132" s="476"/>
      <c r="H132" s="476"/>
      <c r="I132" s="476"/>
      <c r="J132" s="476"/>
      <c r="K132" s="476"/>
      <c r="L132" s="476"/>
      <c r="M132" s="476"/>
      <c r="N132" s="476"/>
      <c r="O132" s="474"/>
      <c r="P132" s="474"/>
      <c r="Q132" s="474"/>
      <c r="R132" s="474"/>
      <c r="S132" s="474"/>
      <c r="T132" s="474"/>
      <c r="U132" s="474"/>
      <c r="V132" s="474"/>
    </row>
    <row r="133" spans="2:22">
      <c r="B133" s="428"/>
      <c r="C133" s="204" t="s">
        <v>1100</v>
      </c>
      <c r="D133" s="426"/>
      <c r="E133" s="313"/>
      <c r="F133" s="477">
        <f>F131-F134</f>
        <v>624.65349300000162</v>
      </c>
      <c r="G133" s="477"/>
      <c r="H133" s="477">
        <v>20800.13</v>
      </c>
      <c r="I133" s="477"/>
      <c r="J133" s="477"/>
      <c r="K133" s="477"/>
      <c r="L133" s="477"/>
      <c r="M133" s="477"/>
      <c r="N133" s="477"/>
      <c r="O133" s="313"/>
      <c r="P133" s="313"/>
      <c r="Q133" s="313"/>
      <c r="R133" s="313"/>
      <c r="S133" s="313"/>
      <c r="T133" s="313"/>
      <c r="U133" s="313"/>
      <c r="V133" s="313"/>
    </row>
    <row r="134" spans="2:22">
      <c r="B134" s="428"/>
      <c r="C134" s="204" t="s">
        <v>1101</v>
      </c>
      <c r="D134" s="426"/>
      <c r="E134" s="297">
        <f>E131</f>
        <v>22882.457999999995</v>
      </c>
      <c r="F134" s="297">
        <v>23996.94</v>
      </c>
      <c r="G134" s="297">
        <f>G131</f>
        <v>24559.587820000001</v>
      </c>
      <c r="H134" s="297">
        <f>H131-H133</f>
        <v>33956.947572000005</v>
      </c>
      <c r="I134" s="297">
        <f t="shared" ref="I134:V134" si="38">I131</f>
        <v>133903.08204408333</v>
      </c>
      <c r="J134" s="297">
        <f t="shared" si="38"/>
        <v>69690.145648200007</v>
      </c>
      <c r="K134" s="297">
        <f t="shared" si="38"/>
        <v>170433.38271115278</v>
      </c>
      <c r="L134" s="297">
        <f t="shared" si="38"/>
        <v>76095.354769929283</v>
      </c>
      <c r="M134" s="297">
        <f t="shared" si="38"/>
        <v>84417.862851600017</v>
      </c>
      <c r="N134" s="297">
        <f t="shared" si="38"/>
        <v>69541.346686369652</v>
      </c>
      <c r="O134" s="297">
        <f t="shared" si="38"/>
        <v>95188.269725999984</v>
      </c>
      <c r="P134" s="297">
        <f t="shared" si="38"/>
        <v>76365.988461988483</v>
      </c>
      <c r="Q134" s="297">
        <f t="shared" si="38"/>
        <v>105536.874331</v>
      </c>
      <c r="R134" s="297">
        <f t="shared" si="38"/>
        <v>0</v>
      </c>
      <c r="S134" s="297">
        <f t="shared" si="38"/>
        <v>117511.037444</v>
      </c>
      <c r="T134" s="297">
        <f t="shared" si="38"/>
        <v>0</v>
      </c>
      <c r="U134" s="297">
        <f t="shared" si="38"/>
        <v>129268.75318299999</v>
      </c>
      <c r="V134" s="297">
        <f t="shared" si="38"/>
        <v>0</v>
      </c>
    </row>
    <row r="135" spans="2:22">
      <c r="B135" s="430"/>
      <c r="G135" s="1601" t="s">
        <v>948</v>
      </c>
      <c r="H135" s="1601"/>
      <c r="I135" s="1601"/>
      <c r="J135" s="1601"/>
      <c r="K135" s="1601"/>
      <c r="L135" s="1601"/>
    </row>
    <row r="136" spans="2:22">
      <c r="B136" s="430"/>
      <c r="G136" s="1601" t="s">
        <v>889</v>
      </c>
      <c r="H136" s="1601"/>
      <c r="I136" s="1601"/>
      <c r="J136" s="1601"/>
      <c r="K136" s="1601"/>
      <c r="L136" s="1601"/>
    </row>
    <row r="137" spans="2:22">
      <c r="B137" s="430"/>
      <c r="G137" s="418" t="s">
        <v>890</v>
      </c>
      <c r="H137" s="418"/>
      <c r="I137" s="418"/>
      <c r="J137" s="418"/>
      <c r="K137" s="418"/>
      <c r="L137" s="418"/>
      <c r="N137" s="1">
        <v>73407.67</v>
      </c>
      <c r="P137" s="1">
        <v>76365.990000000005</v>
      </c>
      <c r="Q137" s="1">
        <f>P137/N137</f>
        <v>1.0402998760211297</v>
      </c>
    </row>
    <row r="138" spans="2:22">
      <c r="B138" s="430"/>
      <c r="G138" s="1601" t="s">
        <v>891</v>
      </c>
      <c r="H138" s="1601"/>
      <c r="I138" s="1601"/>
      <c r="J138" s="1601"/>
      <c r="K138" s="1601"/>
      <c r="L138" s="1601"/>
      <c r="N138" s="1">
        <f>N137/M134</f>
        <v>0.86957508186442634</v>
      </c>
      <c r="P138" s="1">
        <v>0.41</v>
      </c>
    </row>
    <row r="139" spans="2:22">
      <c r="B139" s="430"/>
    </row>
    <row r="140" spans="2:22" ht="15.75">
      <c r="B140" s="419" t="s">
        <v>949</v>
      </c>
      <c r="C140" s="419"/>
      <c r="D140" s="419"/>
      <c r="K140" s="1">
        <v>1.0766150000000001</v>
      </c>
      <c r="O140" s="118">
        <f>O145/M145</f>
        <v>1.0063559322033899</v>
      </c>
      <c r="P140" s="118"/>
      <c r="Q140" s="118">
        <f>Q145/O145</f>
        <v>1.0526315789473684</v>
      </c>
      <c r="R140" s="118"/>
      <c r="S140" s="118">
        <f>S145/Q145</f>
        <v>1.05</v>
      </c>
      <c r="T140" s="118"/>
      <c r="U140" s="118">
        <f>U145/S145</f>
        <v>1.0502857142857143</v>
      </c>
    </row>
    <row r="141" spans="2:22" ht="17.25" customHeight="1">
      <c r="B141" s="1597" t="s">
        <v>539</v>
      </c>
      <c r="C141" s="1598" t="s">
        <v>540</v>
      </c>
      <c r="D141" s="1599" t="s">
        <v>541</v>
      </c>
      <c r="E141" s="1596" t="s">
        <v>4</v>
      </c>
      <c r="F141" s="1596"/>
      <c r="G141" s="1596" t="s">
        <v>5</v>
      </c>
      <c r="H141" s="1596"/>
      <c r="I141" s="1596" t="s">
        <v>6</v>
      </c>
      <c r="J141" s="1596"/>
      <c r="K141" s="1596" t="s">
        <v>7</v>
      </c>
      <c r="L141" s="1596"/>
      <c r="M141" s="1596" t="s">
        <v>8</v>
      </c>
      <c r="N141" s="1596"/>
      <c r="O141" s="1596" t="s">
        <v>9</v>
      </c>
      <c r="P141" s="1596"/>
      <c r="Q141" s="1596" t="s">
        <v>10</v>
      </c>
      <c r="R141" s="1596"/>
      <c r="S141" s="1596" t="s">
        <v>11</v>
      </c>
      <c r="T141" s="1596"/>
      <c r="U141" s="1596" t="s">
        <v>12</v>
      </c>
      <c r="V141" s="1596"/>
    </row>
    <row r="142" spans="2:22" ht="37.35" customHeight="1">
      <c r="B142" s="1597"/>
      <c r="C142" s="1598"/>
      <c r="D142" s="1599"/>
      <c r="E142" s="149" t="s">
        <v>13</v>
      </c>
      <c r="F142" s="150" t="s">
        <v>14</v>
      </c>
      <c r="G142" s="149" t="s">
        <v>13</v>
      </c>
      <c r="H142" s="150" t="s">
        <v>14</v>
      </c>
      <c r="I142" s="149" t="s">
        <v>13</v>
      </c>
      <c r="J142" s="150" t="s">
        <v>14</v>
      </c>
      <c r="K142" s="149" t="s">
        <v>13</v>
      </c>
      <c r="L142" s="150" t="s">
        <v>15</v>
      </c>
      <c r="M142" s="149" t="s">
        <v>1361</v>
      </c>
      <c r="N142" s="150" t="s">
        <v>17</v>
      </c>
      <c r="O142" s="149" t="s">
        <v>16</v>
      </c>
      <c r="P142" s="150" t="s">
        <v>17</v>
      </c>
      <c r="Q142" s="149" t="s">
        <v>16</v>
      </c>
      <c r="R142" s="150" t="s">
        <v>17</v>
      </c>
      <c r="S142" s="149" t="s">
        <v>16</v>
      </c>
      <c r="T142" s="150" t="s">
        <v>17</v>
      </c>
      <c r="U142" s="149" t="s">
        <v>16</v>
      </c>
      <c r="V142" s="150" t="s">
        <v>17</v>
      </c>
    </row>
    <row r="143" spans="2:22">
      <c r="B143" s="155">
        <v>1</v>
      </c>
      <c r="C143" s="155">
        <v>2</v>
      </c>
      <c r="D143" s="155">
        <v>3</v>
      </c>
      <c r="E143" s="155">
        <v>4</v>
      </c>
      <c r="F143" s="155">
        <v>5</v>
      </c>
      <c r="G143" s="155">
        <v>6</v>
      </c>
      <c r="H143" s="155">
        <v>7</v>
      </c>
      <c r="I143" s="155">
        <v>8</v>
      </c>
      <c r="J143" s="155">
        <v>9</v>
      </c>
      <c r="K143" s="155">
        <v>10</v>
      </c>
      <c r="L143" s="155">
        <v>11</v>
      </c>
      <c r="M143" s="155">
        <v>12</v>
      </c>
      <c r="N143" s="155">
        <v>13</v>
      </c>
      <c r="O143" s="155">
        <v>14</v>
      </c>
      <c r="P143" s="155">
        <v>15</v>
      </c>
      <c r="Q143" s="155">
        <v>16</v>
      </c>
      <c r="R143" s="155">
        <v>17</v>
      </c>
      <c r="S143" s="155">
        <v>18</v>
      </c>
      <c r="T143" s="155">
        <v>19</v>
      </c>
      <c r="U143" s="155">
        <v>20</v>
      </c>
      <c r="V143" s="155">
        <v>21</v>
      </c>
    </row>
    <row r="144" spans="2:22">
      <c r="B144" s="340"/>
      <c r="C144" s="32" t="s">
        <v>950</v>
      </c>
      <c r="D144" s="16" t="s">
        <v>951</v>
      </c>
      <c r="E144" s="478">
        <v>1.3</v>
      </c>
      <c r="F144" s="478">
        <v>1.63</v>
      </c>
      <c r="G144" s="478">
        <v>1.1975</v>
      </c>
      <c r="H144" s="478">
        <v>1.10623</v>
      </c>
      <c r="I144" s="478">
        <v>1.1975</v>
      </c>
      <c r="J144" s="478">
        <v>1.2122999999999999</v>
      </c>
      <c r="K144" s="478">
        <f>I144</f>
        <v>1.1975</v>
      </c>
      <c r="L144" s="478">
        <v>1.2073400000000001</v>
      </c>
      <c r="M144" s="478">
        <v>1.369</v>
      </c>
      <c r="N144" s="478"/>
      <c r="O144" s="478">
        <v>1.2745</v>
      </c>
      <c r="P144" s="478"/>
      <c r="Q144" s="478">
        <v>1.3169999999999999</v>
      </c>
      <c r="R144" s="478"/>
      <c r="S144" s="478">
        <v>1.3172999999999999</v>
      </c>
      <c r="T144" s="478"/>
      <c r="U144" s="478">
        <v>1.3169999999999999</v>
      </c>
      <c r="V144" s="478"/>
    </row>
    <row r="145" spans="2:22">
      <c r="B145" s="340"/>
      <c r="C145" s="32" t="s">
        <v>952</v>
      </c>
      <c r="D145" s="16" t="s">
        <v>953</v>
      </c>
      <c r="E145" s="22">
        <f>1815.62/1.3</f>
        <v>1396.6307692307691</v>
      </c>
      <c r="F145" s="22">
        <f>2372.75/1.63</f>
        <v>1455.674846625767</v>
      </c>
      <c r="G145" s="22">
        <f>1844.39/1197.5*1000</f>
        <v>1540.2004175365344</v>
      </c>
      <c r="H145" s="22">
        <f>1836.68/1106.23*1000</f>
        <v>1660.3057230413206</v>
      </c>
      <c r="I145" s="22">
        <v>1586.41</v>
      </c>
      <c r="J145" s="22">
        <f>2204.45/1212.55*1000</f>
        <v>1818.0281225516474</v>
      </c>
      <c r="K145" s="22">
        <f>I145*K140</f>
        <v>1707.9528021500003</v>
      </c>
      <c r="L145" s="22">
        <v>1862.9</v>
      </c>
      <c r="M145" s="22">
        <v>1888</v>
      </c>
      <c r="N145" s="22"/>
      <c r="O145" s="22">
        <v>1900</v>
      </c>
      <c r="P145" s="22"/>
      <c r="Q145" s="22">
        <v>2000</v>
      </c>
      <c r="R145" s="22"/>
      <c r="S145" s="22">
        <v>2100</v>
      </c>
      <c r="T145" s="22"/>
      <c r="U145" s="22">
        <v>2205.6</v>
      </c>
      <c r="V145" s="22"/>
    </row>
    <row r="146" spans="2:22">
      <c r="B146" s="155">
        <v>1</v>
      </c>
      <c r="C146" s="164" t="s">
        <v>954</v>
      </c>
      <c r="D146" s="16" t="s">
        <v>22</v>
      </c>
      <c r="E146" s="17">
        <f>E144*E145</f>
        <v>1815.62</v>
      </c>
      <c r="F146" s="17">
        <f t="shared" ref="F146:N146" si="39">F144*F145</f>
        <v>2372.75</v>
      </c>
      <c r="G146" s="17">
        <f t="shared" si="39"/>
        <v>1844.3899999999999</v>
      </c>
      <c r="H146" s="17">
        <f t="shared" si="39"/>
        <v>1836.68</v>
      </c>
      <c r="I146" s="17">
        <f t="shared" si="39"/>
        <v>1899.7259750000001</v>
      </c>
      <c r="J146" s="17">
        <f t="shared" si="39"/>
        <v>2203.9954929693617</v>
      </c>
      <c r="K146" s="17">
        <f t="shared" si="39"/>
        <v>2045.2734805746254</v>
      </c>
      <c r="L146" s="17">
        <f>L144*L145-0.05</f>
        <v>2249.1036859999999</v>
      </c>
      <c r="M146" s="17">
        <f>M144*M145</f>
        <v>2584.672</v>
      </c>
      <c r="N146" s="17">
        <f t="shared" si="39"/>
        <v>0</v>
      </c>
      <c r="O146" s="17">
        <f>O144*O145+0.06</f>
        <v>2421.6099999999997</v>
      </c>
      <c r="P146" s="17">
        <f>P144*P145/1000</f>
        <v>0</v>
      </c>
      <c r="Q146" s="17">
        <f>Q144*Q145</f>
        <v>2634</v>
      </c>
      <c r="R146" s="17">
        <f>R144*R145</f>
        <v>0</v>
      </c>
      <c r="S146" s="17">
        <f>S144*S145</f>
        <v>2766.33</v>
      </c>
      <c r="T146" s="17">
        <f>T144*T145</f>
        <v>0</v>
      </c>
      <c r="U146" s="17">
        <f>U144*U145-0.31</f>
        <v>2904.4651999999996</v>
      </c>
      <c r="V146" s="17">
        <f>V144*V145</f>
        <v>0</v>
      </c>
    </row>
    <row r="147" spans="2:22" ht="21">
      <c r="B147" s="340"/>
      <c r="C147" s="32" t="s">
        <v>955</v>
      </c>
      <c r="D147" s="16" t="s">
        <v>956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2:22">
      <c r="B148" s="155"/>
      <c r="C148" s="32" t="s">
        <v>61</v>
      </c>
      <c r="D148" s="16" t="s">
        <v>957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2:22">
      <c r="B149" s="155">
        <v>2</v>
      </c>
      <c r="C149" s="164" t="s">
        <v>958</v>
      </c>
      <c r="D149" s="16" t="s">
        <v>22</v>
      </c>
      <c r="E149" s="17">
        <f>E147*E148/1000</f>
        <v>0</v>
      </c>
      <c r="F149" s="17">
        <f t="shared" ref="F149:V149" si="40">F147*F148/1000</f>
        <v>0</v>
      </c>
      <c r="G149" s="17">
        <f t="shared" si="40"/>
        <v>0</v>
      </c>
      <c r="H149" s="17">
        <f t="shared" si="40"/>
        <v>0</v>
      </c>
      <c r="I149" s="17">
        <f t="shared" si="40"/>
        <v>0</v>
      </c>
      <c r="J149" s="17">
        <f t="shared" si="40"/>
        <v>0</v>
      </c>
      <c r="K149" s="17">
        <f t="shared" si="40"/>
        <v>0</v>
      </c>
      <c r="L149" s="17">
        <f t="shared" si="40"/>
        <v>0</v>
      </c>
      <c r="M149" s="17">
        <f t="shared" si="40"/>
        <v>0</v>
      </c>
      <c r="N149" s="17">
        <f t="shared" si="40"/>
        <v>0</v>
      </c>
      <c r="O149" s="17">
        <f t="shared" si="40"/>
        <v>0</v>
      </c>
      <c r="P149" s="17">
        <f t="shared" si="40"/>
        <v>0</v>
      </c>
      <c r="Q149" s="17">
        <f t="shared" si="40"/>
        <v>0</v>
      </c>
      <c r="R149" s="17">
        <f t="shared" si="40"/>
        <v>0</v>
      </c>
      <c r="S149" s="17">
        <f t="shared" si="40"/>
        <v>0</v>
      </c>
      <c r="T149" s="17">
        <f t="shared" si="40"/>
        <v>0</v>
      </c>
      <c r="U149" s="17">
        <f t="shared" si="40"/>
        <v>0</v>
      </c>
      <c r="V149" s="17">
        <f t="shared" si="40"/>
        <v>0</v>
      </c>
    </row>
    <row r="150" spans="2:22" ht="25.5">
      <c r="B150" s="441">
        <v>3</v>
      </c>
      <c r="C150" s="295" t="s">
        <v>959</v>
      </c>
      <c r="D150" s="416" t="s">
        <v>22</v>
      </c>
      <c r="E150" s="297">
        <f>E146+E149</f>
        <v>1815.62</v>
      </c>
      <c r="F150" s="297">
        <f t="shared" ref="F150:V150" si="41">F146+F149</f>
        <v>2372.75</v>
      </c>
      <c r="G150" s="297">
        <v>1853.43</v>
      </c>
      <c r="H150" s="297">
        <f t="shared" si="41"/>
        <v>1836.68</v>
      </c>
      <c r="I150" s="297">
        <f>I146+I149-0.01</f>
        <v>1899.7159750000001</v>
      </c>
      <c r="J150" s="297">
        <f t="shared" si="41"/>
        <v>2203.9954929693617</v>
      </c>
      <c r="K150" s="297">
        <f t="shared" si="41"/>
        <v>2045.2734805746254</v>
      </c>
      <c r="L150" s="297">
        <f t="shared" si="41"/>
        <v>2249.1036859999999</v>
      </c>
      <c r="M150" s="297">
        <f>M146+M149+0.07</f>
        <v>2584.7420000000002</v>
      </c>
      <c r="N150" s="297">
        <f t="shared" si="41"/>
        <v>0</v>
      </c>
      <c r="O150" s="297">
        <f t="shared" si="41"/>
        <v>2421.6099999999997</v>
      </c>
      <c r="P150" s="297">
        <f t="shared" si="41"/>
        <v>0</v>
      </c>
      <c r="Q150" s="297">
        <f>Q146+Q149+0.44</f>
        <v>2634.44</v>
      </c>
      <c r="R150" s="297">
        <f t="shared" si="41"/>
        <v>0</v>
      </c>
      <c r="S150" s="297">
        <f>S146+S149-0.17</f>
        <v>2766.16</v>
      </c>
      <c r="T150" s="297">
        <f t="shared" si="41"/>
        <v>0</v>
      </c>
      <c r="U150" s="297">
        <f>U146+U149</f>
        <v>2904.4651999999996</v>
      </c>
      <c r="V150" s="297">
        <f t="shared" si="41"/>
        <v>0</v>
      </c>
    </row>
    <row r="152" spans="2:22">
      <c r="G152" s="1601" t="s">
        <v>960</v>
      </c>
      <c r="H152" s="1601"/>
      <c r="I152" s="1601"/>
      <c r="J152" s="1601"/>
      <c r="K152" s="1601"/>
      <c r="L152" s="1601"/>
    </row>
    <row r="153" spans="2:22">
      <c r="G153" s="1601" t="s">
        <v>889</v>
      </c>
      <c r="H153" s="1601"/>
      <c r="I153" s="1601"/>
      <c r="J153" s="1601"/>
      <c r="K153" s="1601"/>
      <c r="L153" s="1601"/>
    </row>
    <row r="154" spans="2:22">
      <c r="G154" s="418" t="s">
        <v>890</v>
      </c>
      <c r="H154" s="418"/>
      <c r="I154" s="418"/>
      <c r="J154" s="418"/>
      <c r="K154" s="418"/>
      <c r="L154" s="418"/>
    </row>
    <row r="155" spans="2:22">
      <c r="G155" s="1601" t="s">
        <v>891</v>
      </c>
      <c r="H155" s="1601"/>
      <c r="I155" s="1601"/>
      <c r="J155" s="1601"/>
      <c r="K155" s="1601"/>
      <c r="L155" s="1601"/>
    </row>
    <row r="157" spans="2:22" ht="15.75">
      <c r="B157" s="419" t="s">
        <v>961</v>
      </c>
    </row>
    <row r="158" spans="2:22" ht="15" customHeight="1">
      <c r="B158" s="1597" t="s">
        <v>539</v>
      </c>
      <c r="C158" s="1598" t="s">
        <v>540</v>
      </c>
      <c r="D158" s="1599" t="s">
        <v>541</v>
      </c>
      <c r="E158" s="1596" t="s">
        <v>4</v>
      </c>
      <c r="F158" s="1596"/>
      <c r="G158" s="1596" t="s">
        <v>5</v>
      </c>
      <c r="H158" s="1596"/>
      <c r="I158" s="1596" t="s">
        <v>6</v>
      </c>
      <c r="J158" s="1596"/>
      <c r="K158" s="1596" t="s">
        <v>7</v>
      </c>
      <c r="L158" s="1596"/>
      <c r="M158" s="1596" t="s">
        <v>8</v>
      </c>
      <c r="N158" s="1596"/>
      <c r="O158" s="1596" t="s">
        <v>9</v>
      </c>
      <c r="P158" s="1596"/>
      <c r="Q158" s="1596" t="s">
        <v>10</v>
      </c>
      <c r="R158" s="1596"/>
      <c r="S158" s="1596" t="s">
        <v>11</v>
      </c>
      <c r="T158" s="1596"/>
      <c r="U158" s="1596" t="s">
        <v>12</v>
      </c>
      <c r="V158" s="1596"/>
    </row>
    <row r="159" spans="2:22" ht="37.35" customHeight="1">
      <c r="B159" s="1597"/>
      <c r="C159" s="1598"/>
      <c r="D159" s="1599"/>
      <c r="E159" s="149" t="s">
        <v>13</v>
      </c>
      <c r="F159" s="150" t="s">
        <v>14</v>
      </c>
      <c r="G159" s="149" t="s">
        <v>13</v>
      </c>
      <c r="H159" s="150" t="s">
        <v>14</v>
      </c>
      <c r="I159" s="149" t="s">
        <v>13</v>
      </c>
      <c r="J159" s="150" t="s">
        <v>14</v>
      </c>
      <c r="K159" s="149" t="s">
        <v>13</v>
      </c>
      <c r="L159" s="150" t="s">
        <v>14</v>
      </c>
      <c r="M159" s="149" t="s">
        <v>1361</v>
      </c>
      <c r="N159" s="150" t="s">
        <v>17</v>
      </c>
      <c r="O159" s="149" t="s">
        <v>16</v>
      </c>
      <c r="P159" s="150" t="s">
        <v>17</v>
      </c>
      <c r="Q159" s="149" t="s">
        <v>16</v>
      </c>
      <c r="R159" s="150" t="s">
        <v>17</v>
      </c>
      <c r="S159" s="149" t="s">
        <v>16</v>
      </c>
      <c r="T159" s="150" t="s">
        <v>17</v>
      </c>
      <c r="U159" s="149" t="s">
        <v>16</v>
      </c>
      <c r="V159" s="150" t="s">
        <v>17</v>
      </c>
    </row>
    <row r="160" spans="2:22">
      <c r="B160" s="155">
        <v>1</v>
      </c>
      <c r="C160" s="155">
        <v>2</v>
      </c>
      <c r="D160" s="155">
        <v>3</v>
      </c>
      <c r="E160" s="155">
        <v>4</v>
      </c>
      <c r="F160" s="155">
        <v>5</v>
      </c>
      <c r="G160" s="155">
        <v>6</v>
      </c>
      <c r="H160" s="155">
        <v>7</v>
      </c>
      <c r="I160" s="155">
        <v>8</v>
      </c>
      <c r="J160" s="155">
        <v>9</v>
      </c>
      <c r="K160" s="155">
        <v>10</v>
      </c>
      <c r="L160" s="155">
        <v>11</v>
      </c>
      <c r="M160" s="155">
        <v>12</v>
      </c>
      <c r="N160" s="155">
        <v>13</v>
      </c>
      <c r="O160" s="155">
        <v>14</v>
      </c>
      <c r="P160" s="155">
        <v>15</v>
      </c>
      <c r="Q160" s="155">
        <v>16</v>
      </c>
      <c r="R160" s="155">
        <v>17</v>
      </c>
      <c r="S160" s="155">
        <v>18</v>
      </c>
      <c r="T160" s="155">
        <v>19</v>
      </c>
      <c r="U160" s="155">
        <v>20</v>
      </c>
      <c r="V160" s="155">
        <v>21</v>
      </c>
    </row>
    <row r="161" spans="2:23">
      <c r="B161" s="441"/>
      <c r="C161" s="439" t="s">
        <v>962</v>
      </c>
      <c r="D161" s="42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2:23">
      <c r="B162" s="441"/>
      <c r="C162" s="32" t="s">
        <v>963</v>
      </c>
      <c r="D162" s="16" t="s">
        <v>139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2:23">
      <c r="B163" s="441"/>
      <c r="C163" s="32" t="s">
        <v>964</v>
      </c>
      <c r="D163" s="16" t="s">
        <v>136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2:23" ht="21">
      <c r="B164" s="320">
        <v>1</v>
      </c>
      <c r="C164" s="164" t="s">
        <v>965</v>
      </c>
      <c r="D164" s="16" t="s">
        <v>22</v>
      </c>
      <c r="E164" s="17">
        <f>E162*E163/1000</f>
        <v>0</v>
      </c>
      <c r="F164" s="17">
        <f t="shared" ref="F164:V164" si="42">F162*F163/1000</f>
        <v>0</v>
      </c>
      <c r="G164" s="17">
        <f t="shared" si="42"/>
        <v>0</v>
      </c>
      <c r="H164" s="17">
        <f t="shared" si="42"/>
        <v>0</v>
      </c>
      <c r="I164" s="17">
        <f t="shared" si="42"/>
        <v>0</v>
      </c>
      <c r="J164" s="17">
        <f t="shared" si="42"/>
        <v>0</v>
      </c>
      <c r="K164" s="17">
        <f t="shared" si="42"/>
        <v>0</v>
      </c>
      <c r="L164" s="17">
        <f t="shared" si="42"/>
        <v>0</v>
      </c>
      <c r="M164" s="17">
        <f t="shared" si="42"/>
        <v>0</v>
      </c>
      <c r="N164" s="17">
        <f t="shared" si="42"/>
        <v>0</v>
      </c>
      <c r="O164" s="17">
        <f t="shared" si="42"/>
        <v>0</v>
      </c>
      <c r="P164" s="17">
        <f t="shared" si="42"/>
        <v>0</v>
      </c>
      <c r="Q164" s="17">
        <f t="shared" si="42"/>
        <v>0</v>
      </c>
      <c r="R164" s="17">
        <f t="shared" si="42"/>
        <v>0</v>
      </c>
      <c r="S164" s="17">
        <f t="shared" si="42"/>
        <v>0</v>
      </c>
      <c r="T164" s="17">
        <f t="shared" si="42"/>
        <v>0</v>
      </c>
      <c r="U164" s="17">
        <f t="shared" si="42"/>
        <v>0</v>
      </c>
      <c r="V164" s="17">
        <f t="shared" si="42"/>
        <v>0</v>
      </c>
    </row>
    <row r="165" spans="2:23">
      <c r="B165" s="340">
        <v>2</v>
      </c>
      <c r="C165" s="439" t="s">
        <v>966</v>
      </c>
      <c r="D165" s="42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2:23">
      <c r="B166" s="340">
        <v>3</v>
      </c>
      <c r="C166" s="439" t="s">
        <v>967</v>
      </c>
      <c r="D166" s="42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2:23" ht="38.25">
      <c r="B167" s="441"/>
      <c r="C167" s="295" t="s">
        <v>968</v>
      </c>
      <c r="D167" s="416" t="s">
        <v>22</v>
      </c>
      <c r="E167" s="297">
        <f>E164+E165+E166</f>
        <v>0</v>
      </c>
      <c r="F167" s="297">
        <f t="shared" ref="F167:V167" si="43">F164+F165+F166</f>
        <v>0</v>
      </c>
      <c r="G167" s="297">
        <f t="shared" si="43"/>
        <v>0</v>
      </c>
      <c r="H167" s="297">
        <f t="shared" si="43"/>
        <v>0</v>
      </c>
      <c r="I167" s="297">
        <f t="shared" si="43"/>
        <v>0</v>
      </c>
      <c r="J167" s="297">
        <f t="shared" si="43"/>
        <v>0</v>
      </c>
      <c r="K167" s="297">
        <f t="shared" si="43"/>
        <v>0</v>
      </c>
      <c r="L167" s="297">
        <f t="shared" si="43"/>
        <v>0</v>
      </c>
      <c r="M167" s="297">
        <f t="shared" si="43"/>
        <v>0</v>
      </c>
      <c r="N167" s="297">
        <f t="shared" si="43"/>
        <v>0</v>
      </c>
      <c r="O167" s="297">
        <f t="shared" si="43"/>
        <v>0</v>
      </c>
      <c r="P167" s="297">
        <f t="shared" si="43"/>
        <v>0</v>
      </c>
      <c r="Q167" s="297">
        <f t="shared" si="43"/>
        <v>0</v>
      </c>
      <c r="R167" s="297">
        <f t="shared" si="43"/>
        <v>0</v>
      </c>
      <c r="S167" s="297">
        <f t="shared" si="43"/>
        <v>0</v>
      </c>
      <c r="T167" s="297">
        <f t="shared" si="43"/>
        <v>0</v>
      </c>
      <c r="U167" s="297">
        <f t="shared" si="43"/>
        <v>0</v>
      </c>
      <c r="V167" s="297">
        <f t="shared" si="43"/>
        <v>0</v>
      </c>
    </row>
    <row r="169" spans="2:23">
      <c r="G169" s="1601" t="s">
        <v>969</v>
      </c>
      <c r="H169" s="1601"/>
      <c r="I169" s="1601"/>
      <c r="J169" s="1601"/>
      <c r="K169" s="1601"/>
      <c r="L169" s="1601"/>
    </row>
    <row r="170" spans="2:23">
      <c r="G170" s="1601" t="s">
        <v>889</v>
      </c>
      <c r="H170" s="1601"/>
      <c r="I170" s="1601"/>
      <c r="J170" s="1601"/>
      <c r="K170" s="1601"/>
      <c r="L170" s="1601"/>
    </row>
    <row r="171" spans="2:23">
      <c r="G171" s="418" t="s">
        <v>890</v>
      </c>
      <c r="H171" s="418"/>
      <c r="I171" s="418"/>
      <c r="J171" s="418"/>
      <c r="K171" s="418"/>
      <c r="L171" s="418"/>
    </row>
    <row r="172" spans="2:23">
      <c r="G172" s="1601" t="s">
        <v>891</v>
      </c>
      <c r="H172" s="1601"/>
      <c r="I172" s="1601"/>
      <c r="J172" s="1601"/>
      <c r="K172" s="1601"/>
      <c r="L172" s="1601"/>
      <c r="O172" s="118">
        <f>O184/M184</f>
        <v>1.1211663369729445</v>
      </c>
      <c r="P172" s="118"/>
      <c r="Q172" s="118"/>
      <c r="R172" s="118"/>
      <c r="S172" s="118"/>
      <c r="T172" s="118"/>
      <c r="U172" s="118"/>
      <c r="V172" s="118"/>
      <c r="W172" t="s">
        <v>1291</v>
      </c>
    </row>
    <row r="173" spans="2:23">
      <c r="O173" s="118">
        <f>O180/M180</f>
        <v>1.0396287040342735</v>
      </c>
    </row>
    <row r="174" spans="2:23" ht="15.75">
      <c r="B174" s="419" t="s">
        <v>970</v>
      </c>
      <c r="K174" s="1">
        <v>1.3406979999999999</v>
      </c>
      <c r="M174" s="1">
        <v>1.04</v>
      </c>
      <c r="O174" s="1">
        <v>1.04</v>
      </c>
      <c r="Q174" s="1">
        <v>1.04</v>
      </c>
      <c r="S174" s="1">
        <v>1.04</v>
      </c>
      <c r="U174" s="1">
        <v>1.04</v>
      </c>
    </row>
    <row r="175" spans="2:23" ht="18.75" customHeight="1">
      <c r="B175" s="1597" t="s">
        <v>539</v>
      </c>
      <c r="C175" s="1598" t="s">
        <v>540</v>
      </c>
      <c r="D175" s="1599" t="s">
        <v>541</v>
      </c>
      <c r="E175" s="1596" t="s">
        <v>4</v>
      </c>
      <c r="F175" s="1596"/>
      <c r="G175" s="1596" t="s">
        <v>5</v>
      </c>
      <c r="H175" s="1596"/>
      <c r="I175" s="1596" t="s">
        <v>6</v>
      </c>
      <c r="J175" s="1596"/>
      <c r="K175" s="1596" t="s">
        <v>7</v>
      </c>
      <c r="L175" s="1596"/>
      <c r="M175" s="1596" t="s">
        <v>8</v>
      </c>
      <c r="N175" s="1596"/>
      <c r="O175" s="1596" t="s">
        <v>9</v>
      </c>
      <c r="P175" s="1596"/>
      <c r="Q175" s="1596" t="s">
        <v>10</v>
      </c>
      <c r="R175" s="1596"/>
      <c r="S175" s="1596" t="s">
        <v>11</v>
      </c>
      <c r="T175" s="1596"/>
      <c r="U175" s="1596" t="s">
        <v>12</v>
      </c>
      <c r="V175" s="1596"/>
    </row>
    <row r="176" spans="2:23" ht="37.35" customHeight="1">
      <c r="B176" s="1597"/>
      <c r="C176" s="1598"/>
      <c r="D176" s="1599"/>
      <c r="E176" s="149" t="s">
        <v>13</v>
      </c>
      <c r="F176" s="150" t="s">
        <v>14</v>
      </c>
      <c r="G176" s="149" t="s">
        <v>13</v>
      </c>
      <c r="H176" s="150" t="s">
        <v>14</v>
      </c>
      <c r="I176" s="149" t="s">
        <v>13</v>
      </c>
      <c r="J176" s="150" t="s">
        <v>14</v>
      </c>
      <c r="K176" s="149" t="s">
        <v>13</v>
      </c>
      <c r="L176" s="150" t="s">
        <v>14</v>
      </c>
      <c r="M176" s="149" t="s">
        <v>1374</v>
      </c>
      <c r="N176" s="150" t="s">
        <v>17</v>
      </c>
      <c r="O176" s="149" t="s">
        <v>16</v>
      </c>
      <c r="P176" s="150" t="s">
        <v>17</v>
      </c>
      <c r="Q176" s="149" t="s">
        <v>16</v>
      </c>
      <c r="R176" s="150" t="s">
        <v>17</v>
      </c>
      <c r="S176" s="149" t="s">
        <v>16</v>
      </c>
      <c r="T176" s="150" t="s">
        <v>17</v>
      </c>
      <c r="U176" s="149" t="s">
        <v>16</v>
      </c>
      <c r="V176" s="150" t="s">
        <v>17</v>
      </c>
    </row>
    <row r="177" spans="2:22">
      <c r="B177" s="155">
        <v>1</v>
      </c>
      <c r="C177" s="155">
        <v>2</v>
      </c>
      <c r="D177" s="155">
        <v>3</v>
      </c>
      <c r="E177" s="155">
        <v>4</v>
      </c>
      <c r="F177" s="155">
        <v>5</v>
      </c>
      <c r="G177" s="155">
        <v>6</v>
      </c>
      <c r="H177" s="155">
        <v>7</v>
      </c>
      <c r="I177" s="155">
        <v>8</v>
      </c>
      <c r="J177" s="155">
        <v>9</v>
      </c>
      <c r="K177" s="155">
        <v>10</v>
      </c>
      <c r="L177" s="155">
        <v>11</v>
      </c>
      <c r="M177" s="155">
        <v>12</v>
      </c>
      <c r="N177" s="155">
        <v>13</v>
      </c>
      <c r="O177" s="155">
        <v>14</v>
      </c>
      <c r="P177" s="155">
        <v>15</v>
      </c>
      <c r="Q177" s="155">
        <v>16</v>
      </c>
      <c r="R177" s="155">
        <v>17</v>
      </c>
      <c r="S177" s="155">
        <v>18</v>
      </c>
      <c r="T177" s="155">
        <v>19</v>
      </c>
      <c r="U177" s="155">
        <v>20</v>
      </c>
      <c r="V177" s="155">
        <v>21</v>
      </c>
    </row>
    <row r="178" spans="2:22">
      <c r="B178" s="340">
        <v>1</v>
      </c>
      <c r="C178" s="164" t="s">
        <v>709</v>
      </c>
      <c r="D178" s="1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2:22">
      <c r="B179" s="334" t="s">
        <v>24</v>
      </c>
      <c r="C179" s="32" t="s">
        <v>971</v>
      </c>
      <c r="D179" s="16" t="s">
        <v>897</v>
      </c>
      <c r="E179" s="22">
        <v>108.491</v>
      </c>
      <c r="F179" s="22">
        <v>83.2</v>
      </c>
      <c r="G179" s="22">
        <v>90</v>
      </c>
      <c r="H179" s="22">
        <v>4.5</v>
      </c>
      <c r="I179" s="22">
        <v>90</v>
      </c>
      <c r="J179" s="22">
        <v>2.65</v>
      </c>
      <c r="K179" s="22">
        <f>I179</f>
        <v>90</v>
      </c>
      <c r="L179" s="22">
        <v>2.8220000000000001</v>
      </c>
      <c r="M179" s="22">
        <v>2.165</v>
      </c>
      <c r="N179" s="22"/>
      <c r="O179" s="22">
        <v>3.9</v>
      </c>
      <c r="P179" s="22"/>
      <c r="Q179" s="22">
        <v>3.9</v>
      </c>
      <c r="R179" s="22"/>
      <c r="S179" s="22">
        <v>3.9</v>
      </c>
      <c r="T179" s="22"/>
      <c r="U179" s="22">
        <v>3.9</v>
      </c>
      <c r="V179" s="22"/>
    </row>
    <row r="180" spans="2:22">
      <c r="B180" s="428" t="s">
        <v>37</v>
      </c>
      <c r="C180" s="32" t="s">
        <v>972</v>
      </c>
      <c r="D180" s="16" t="s">
        <v>973</v>
      </c>
      <c r="E180" s="22">
        <v>4204.18</v>
      </c>
      <c r="F180" s="22">
        <v>4363</v>
      </c>
      <c r="G180" s="22">
        <f>412.02/90*1000</f>
        <v>4577.9999999999991</v>
      </c>
      <c r="H180" s="22">
        <f>20.21/4.5*1000</f>
        <v>4491.1111111111113</v>
      </c>
      <c r="I180" s="22">
        <v>4907.62</v>
      </c>
      <c r="J180" s="22">
        <f>12.026/2.65*1000</f>
        <v>4538.1132075471696</v>
      </c>
      <c r="K180" s="22">
        <f>I180*K174</f>
        <v>6579.63631876</v>
      </c>
      <c r="L180" s="22">
        <f>16.055/2.82*1000</f>
        <v>5693.2624113475176</v>
      </c>
      <c r="M180" s="22">
        <v>5602</v>
      </c>
      <c r="N180" s="22"/>
      <c r="O180" s="22">
        <v>5824</v>
      </c>
      <c r="P180" s="22"/>
      <c r="Q180" s="22">
        <f>O180*Q174</f>
        <v>6056.96</v>
      </c>
      <c r="R180" s="22"/>
      <c r="S180" s="22">
        <f>Q180*S174</f>
        <v>6299.2384000000002</v>
      </c>
      <c r="T180" s="22"/>
      <c r="U180" s="22">
        <f>S180*U174</f>
        <v>6551.2079360000007</v>
      </c>
      <c r="V180" s="22"/>
    </row>
    <row r="181" spans="2:22">
      <c r="B181" s="428" t="s">
        <v>143</v>
      </c>
      <c r="C181" s="439" t="s">
        <v>1102</v>
      </c>
      <c r="D181" s="16" t="s">
        <v>22</v>
      </c>
      <c r="E181" s="17">
        <f>E179*E180/1000</f>
        <v>456.11569238000004</v>
      </c>
      <c r="F181" s="17">
        <f t="shared" ref="F181:V181" si="44">F179*F180/1000</f>
        <v>363.00160000000005</v>
      </c>
      <c r="G181" s="17">
        <f t="shared" si="44"/>
        <v>412.01999999999992</v>
      </c>
      <c r="H181" s="17">
        <f t="shared" si="44"/>
        <v>20.21</v>
      </c>
      <c r="I181" s="17">
        <f t="shared" si="44"/>
        <v>441.68579999999997</v>
      </c>
      <c r="J181" s="17">
        <f t="shared" si="44"/>
        <v>12.026</v>
      </c>
      <c r="K181" s="17">
        <f t="shared" si="44"/>
        <v>592.1672686884001</v>
      </c>
      <c r="L181" s="17">
        <f t="shared" si="44"/>
        <v>16.066386524822697</v>
      </c>
      <c r="M181" s="17">
        <f t="shared" si="44"/>
        <v>12.12833</v>
      </c>
      <c r="N181" s="17">
        <f t="shared" si="44"/>
        <v>0</v>
      </c>
      <c r="O181" s="17">
        <f t="shared" si="44"/>
        <v>22.7136</v>
      </c>
      <c r="P181" s="17">
        <f t="shared" si="44"/>
        <v>0</v>
      </c>
      <c r="Q181" s="17">
        <f t="shared" si="44"/>
        <v>23.622143999999999</v>
      </c>
      <c r="R181" s="17">
        <f t="shared" si="44"/>
        <v>0</v>
      </c>
      <c r="S181" s="17">
        <f t="shared" si="44"/>
        <v>24.56702976</v>
      </c>
      <c r="T181" s="17">
        <f t="shared" si="44"/>
        <v>0</v>
      </c>
      <c r="U181" s="17">
        <f t="shared" si="44"/>
        <v>25.549710950400005</v>
      </c>
      <c r="V181" s="17">
        <f t="shared" si="44"/>
        <v>0</v>
      </c>
    </row>
    <row r="182" spans="2:22">
      <c r="B182" s="428" t="s">
        <v>196</v>
      </c>
      <c r="C182" s="164" t="s">
        <v>974</v>
      </c>
      <c r="D182" s="1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2:22">
      <c r="B183" s="334" t="s">
        <v>198</v>
      </c>
      <c r="C183" s="32" t="s">
        <v>971</v>
      </c>
      <c r="D183" s="16" t="s">
        <v>975</v>
      </c>
      <c r="E183" s="22">
        <v>13.04</v>
      </c>
      <c r="F183" s="22">
        <v>28.81</v>
      </c>
      <c r="G183" s="22">
        <v>13.04</v>
      </c>
      <c r="H183" s="22">
        <v>12.76</v>
      </c>
      <c r="I183" s="22">
        <v>1388.7280000000001</v>
      </c>
      <c r="J183" s="22">
        <v>163.5</v>
      </c>
      <c r="K183" s="22">
        <f>I183</f>
        <v>1388.7280000000001</v>
      </c>
      <c r="L183" s="22">
        <v>145.05000000000001</v>
      </c>
      <c r="M183" s="22">
        <f>12.92+140.07</f>
        <v>152.98999999999998</v>
      </c>
      <c r="N183" s="22"/>
      <c r="O183" s="22">
        <f>14+141</f>
        <v>155</v>
      </c>
      <c r="P183" s="22"/>
      <c r="Q183" s="22">
        <f>O183</f>
        <v>155</v>
      </c>
      <c r="R183" s="22"/>
      <c r="S183" s="22">
        <f>Q183</f>
        <v>155</v>
      </c>
      <c r="T183" s="22"/>
      <c r="U183" s="22">
        <f>S183</f>
        <v>155</v>
      </c>
      <c r="V183" s="22"/>
    </row>
    <row r="184" spans="2:22">
      <c r="B184" s="428" t="s">
        <v>202</v>
      </c>
      <c r="C184" s="32" t="s">
        <v>972</v>
      </c>
      <c r="D184" s="16" t="s">
        <v>976</v>
      </c>
      <c r="E184" s="22">
        <v>4.49</v>
      </c>
      <c r="F184" s="22">
        <v>5.73</v>
      </c>
      <c r="G184" s="22">
        <f>67.92/13.04</f>
        <v>5.2085889570552153</v>
      </c>
      <c r="H184" s="22">
        <f>66.36/12.76</f>
        <v>5.2006269592476491</v>
      </c>
      <c r="I184" s="22">
        <v>5.5679699999999999</v>
      </c>
      <c r="J184" s="22">
        <v>26.8</v>
      </c>
      <c r="K184" s="22">
        <f>I184*K174</f>
        <v>7.4649662430599992</v>
      </c>
      <c r="L184" s="22">
        <f>4258.65/145.05</f>
        <v>29.359875904860388</v>
      </c>
      <c r="M184" s="22">
        <v>32.100499999999997</v>
      </c>
      <c r="N184" s="22"/>
      <c r="O184" s="22">
        <v>35.99</v>
      </c>
      <c r="P184" s="22"/>
      <c r="Q184" s="22">
        <v>41.0289</v>
      </c>
      <c r="R184" s="22"/>
      <c r="S184" s="22">
        <v>46.773000000000003</v>
      </c>
      <c r="T184" s="22"/>
      <c r="U184" s="22">
        <v>53.321199999999997</v>
      </c>
      <c r="V184" s="22"/>
    </row>
    <row r="185" spans="2:22">
      <c r="B185" s="428" t="s">
        <v>206</v>
      </c>
      <c r="C185" s="439" t="s">
        <v>1102</v>
      </c>
      <c r="D185" s="16" t="s">
        <v>22</v>
      </c>
      <c r="E185" s="17">
        <f>E183*E184-0.01</f>
        <v>58.5396</v>
      </c>
      <c r="F185" s="17">
        <f>F183*F184+0.01</f>
        <v>165.09129999999999</v>
      </c>
      <c r="G185" s="17">
        <f t="shared" ref="G185:Q185" si="45">G183*G184</f>
        <v>67.92</v>
      </c>
      <c r="H185" s="17">
        <f t="shared" si="45"/>
        <v>66.36</v>
      </c>
      <c r="I185" s="17">
        <f t="shared" si="45"/>
        <v>7732.39584216</v>
      </c>
      <c r="J185" s="17">
        <f t="shared" si="45"/>
        <v>4381.8</v>
      </c>
      <c r="K185" s="17">
        <f t="shared" si="45"/>
        <v>10366.807640792227</v>
      </c>
      <c r="L185" s="17">
        <f t="shared" si="45"/>
        <v>4258.6499999999996</v>
      </c>
      <c r="M185" s="17">
        <f t="shared" si="45"/>
        <v>4911.0554949999987</v>
      </c>
      <c r="N185" s="17">
        <f t="shared" si="45"/>
        <v>0</v>
      </c>
      <c r="O185" s="17">
        <f t="shared" si="45"/>
        <v>5578.4500000000007</v>
      </c>
      <c r="P185" s="17">
        <f t="shared" ref="P185:V185" si="46">P183*P184/1000</f>
        <v>0</v>
      </c>
      <c r="Q185" s="17">
        <f t="shared" si="45"/>
        <v>6359.4795000000004</v>
      </c>
      <c r="R185" s="17">
        <f t="shared" si="46"/>
        <v>0</v>
      </c>
      <c r="S185" s="17">
        <f>S183*S184-0.1</f>
        <v>7249.7150000000001</v>
      </c>
      <c r="T185" s="17">
        <f t="shared" si="46"/>
        <v>0</v>
      </c>
      <c r="U185" s="17">
        <f>U183*U184-0.01</f>
        <v>8264.7759999999998</v>
      </c>
      <c r="V185" s="17">
        <f t="shared" si="46"/>
        <v>0</v>
      </c>
    </row>
    <row r="186" spans="2:22">
      <c r="B186" s="340">
        <v>3</v>
      </c>
      <c r="C186" s="164" t="s">
        <v>1103</v>
      </c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2:22">
      <c r="B187" s="334" t="s">
        <v>226</v>
      </c>
      <c r="C187" s="32" t="s">
        <v>971</v>
      </c>
      <c r="D187" s="16" t="s">
        <v>897</v>
      </c>
      <c r="E187" s="22">
        <v>1.5</v>
      </c>
      <c r="F187" s="22">
        <v>1.61</v>
      </c>
      <c r="G187" s="22">
        <v>1.8</v>
      </c>
      <c r="H187" s="22">
        <v>2.1</v>
      </c>
      <c r="I187" s="22">
        <v>1.8</v>
      </c>
      <c r="J187" s="22">
        <f>5.68*0.48</f>
        <v>2.7263999999999999</v>
      </c>
      <c r="K187" s="22">
        <f>I187</f>
        <v>1.8</v>
      </c>
      <c r="L187" s="22">
        <v>0</v>
      </c>
      <c r="M187" s="22">
        <f>L187</f>
        <v>0</v>
      </c>
      <c r="N187" s="22"/>
      <c r="O187" s="22">
        <f>M187</f>
        <v>0</v>
      </c>
      <c r="P187" s="22"/>
      <c r="Q187" s="22">
        <f>O187</f>
        <v>0</v>
      </c>
      <c r="R187" s="22"/>
      <c r="S187" s="22">
        <f>Q187</f>
        <v>0</v>
      </c>
      <c r="T187" s="22"/>
      <c r="U187" s="22">
        <f>S187</f>
        <v>0</v>
      </c>
      <c r="V187" s="22"/>
    </row>
    <row r="188" spans="2:22">
      <c r="B188" s="428" t="s">
        <v>244</v>
      </c>
      <c r="C188" s="32" t="s">
        <v>972</v>
      </c>
      <c r="D188" s="16" t="s">
        <v>973</v>
      </c>
      <c r="E188" s="22">
        <v>26237.75</v>
      </c>
      <c r="F188" s="22">
        <v>24340.1</v>
      </c>
      <c r="G188" s="22">
        <f>45.28/1.8*1000</f>
        <v>25155.555555555555</v>
      </c>
      <c r="H188" s="22">
        <f>64.32/2.1*1000</f>
        <v>30628.571428571424</v>
      </c>
      <c r="I188" s="22">
        <v>26687.919999999998</v>
      </c>
      <c r="J188" s="22">
        <v>35770</v>
      </c>
      <c r="K188" s="22">
        <f>I188*K174</f>
        <v>35780.440968159994</v>
      </c>
      <c r="L188" s="22">
        <v>41851</v>
      </c>
      <c r="M188" s="22">
        <f>L188*M174</f>
        <v>43525.04</v>
      </c>
      <c r="N188" s="22"/>
      <c r="O188" s="22">
        <f>M188*O174</f>
        <v>45266.041600000004</v>
      </c>
      <c r="P188" s="22"/>
      <c r="Q188" s="22">
        <f>O188*Q174</f>
        <v>47076.683264000007</v>
      </c>
      <c r="R188" s="22"/>
      <c r="S188" s="22">
        <f>Q188*S174</f>
        <v>48959.750594560006</v>
      </c>
      <c r="T188" s="22"/>
      <c r="U188" s="22">
        <f>S188*U174</f>
        <v>50918.140618342411</v>
      </c>
      <c r="V188" s="22"/>
    </row>
    <row r="189" spans="2:22">
      <c r="B189" s="428" t="s">
        <v>263</v>
      </c>
      <c r="C189" s="439" t="s">
        <v>1102</v>
      </c>
      <c r="D189" s="16" t="s">
        <v>22</v>
      </c>
      <c r="E189" s="17">
        <f>E187*E188/1000</f>
        <v>39.356625000000001</v>
      </c>
      <c r="F189" s="17">
        <f>F187*F188/1000+0.04</f>
        <v>39.227561000000001</v>
      </c>
      <c r="G189" s="17">
        <f t="shared" ref="G189:V189" si="47">G187*G188/1000</f>
        <v>45.28</v>
      </c>
      <c r="H189" s="17">
        <f t="shared" si="47"/>
        <v>64.319999999999993</v>
      </c>
      <c r="I189" s="17">
        <f t="shared" si="47"/>
        <v>48.038256000000004</v>
      </c>
      <c r="J189" s="17">
        <f t="shared" si="47"/>
        <v>97.523327999999992</v>
      </c>
      <c r="K189" s="17">
        <f t="shared" si="47"/>
        <v>64.404793742687986</v>
      </c>
      <c r="L189" s="17">
        <f t="shared" si="47"/>
        <v>0</v>
      </c>
      <c r="M189" s="17">
        <f t="shared" si="47"/>
        <v>0</v>
      </c>
      <c r="N189" s="17">
        <f t="shared" si="47"/>
        <v>0</v>
      </c>
      <c r="O189" s="17">
        <f t="shared" si="47"/>
        <v>0</v>
      </c>
      <c r="P189" s="17">
        <f t="shared" si="47"/>
        <v>0</v>
      </c>
      <c r="Q189" s="17">
        <f t="shared" si="47"/>
        <v>0</v>
      </c>
      <c r="R189" s="17">
        <f t="shared" si="47"/>
        <v>0</v>
      </c>
      <c r="S189" s="17">
        <f t="shared" si="47"/>
        <v>0</v>
      </c>
      <c r="T189" s="17">
        <f t="shared" si="47"/>
        <v>0</v>
      </c>
      <c r="U189" s="17">
        <f t="shared" si="47"/>
        <v>0</v>
      </c>
      <c r="V189" s="17">
        <f t="shared" si="47"/>
        <v>0</v>
      </c>
    </row>
    <row r="190" spans="2:22" ht="25.5">
      <c r="B190" s="340"/>
      <c r="C190" s="295" t="s">
        <v>981</v>
      </c>
      <c r="D190" s="420" t="s">
        <v>22</v>
      </c>
      <c r="E190" s="297">
        <f>E181+E185+E189</f>
        <v>554.01191738</v>
      </c>
      <c r="F190" s="297">
        <f t="shared" ref="F190:V190" si="48">F181+F185+F189</f>
        <v>567.32046100000014</v>
      </c>
      <c r="G190" s="297">
        <f t="shared" si="48"/>
        <v>525.21999999999991</v>
      </c>
      <c r="H190" s="297">
        <f t="shared" si="48"/>
        <v>150.88999999999999</v>
      </c>
      <c r="I190" s="297">
        <f t="shared" si="48"/>
        <v>8222.119898160001</v>
      </c>
      <c r="J190" s="297">
        <f t="shared" si="48"/>
        <v>4491.3493280000002</v>
      </c>
      <c r="K190" s="297">
        <f t="shared" si="48"/>
        <v>11023.379703223314</v>
      </c>
      <c r="L190" s="297">
        <f>L181+L185+L189-0.06</f>
        <v>4274.6563865248218</v>
      </c>
      <c r="M190" s="297">
        <f t="shared" si="48"/>
        <v>4923.1838249999983</v>
      </c>
      <c r="N190" s="297">
        <f>'К ВО'!Q79</f>
        <v>3390.2883887879502</v>
      </c>
      <c r="O190" s="297">
        <f t="shared" si="48"/>
        <v>5601.1636000000008</v>
      </c>
      <c r="P190" s="297">
        <f t="shared" si="48"/>
        <v>0</v>
      </c>
      <c r="Q190" s="297">
        <f t="shared" si="48"/>
        <v>6383.1016440000003</v>
      </c>
      <c r="R190" s="297">
        <f t="shared" si="48"/>
        <v>0</v>
      </c>
      <c r="S190" s="297">
        <f t="shared" si="48"/>
        <v>7274.2820297600001</v>
      </c>
      <c r="T190" s="297">
        <f t="shared" si="48"/>
        <v>0</v>
      </c>
      <c r="U190" s="297">
        <f t="shared" si="48"/>
        <v>8290.3257109503993</v>
      </c>
      <c r="V190" s="297">
        <f t="shared" si="48"/>
        <v>0</v>
      </c>
    </row>
    <row r="192" spans="2:22" hidden="1">
      <c r="G192" s="1601" t="s">
        <v>982</v>
      </c>
      <c r="H192" s="1601"/>
      <c r="I192" s="1601"/>
      <c r="J192" s="1601"/>
      <c r="K192" s="1601"/>
      <c r="L192" s="1601"/>
    </row>
    <row r="193" spans="2:22" hidden="1">
      <c r="G193" s="1601" t="s">
        <v>889</v>
      </c>
      <c r="H193" s="1601"/>
      <c r="I193" s="1601"/>
      <c r="J193" s="1601"/>
      <c r="K193" s="1601"/>
      <c r="L193" s="1601"/>
    </row>
    <row r="194" spans="2:22" hidden="1">
      <c r="G194" s="418" t="s">
        <v>890</v>
      </c>
      <c r="H194" s="418"/>
      <c r="I194" s="418"/>
      <c r="J194" s="418"/>
      <c r="K194" s="418"/>
      <c r="L194" s="418"/>
    </row>
    <row r="195" spans="2:22" hidden="1">
      <c r="G195" s="1601" t="s">
        <v>891</v>
      </c>
      <c r="H195" s="1601"/>
      <c r="I195" s="1601"/>
      <c r="J195" s="1601"/>
      <c r="K195" s="1601"/>
      <c r="L195" s="1601"/>
    </row>
    <row r="196" spans="2:22" hidden="1"/>
    <row r="197" spans="2:22" ht="15.75" hidden="1">
      <c r="B197" s="419" t="s">
        <v>983</v>
      </c>
    </row>
    <row r="198" spans="2:22" ht="15" hidden="1" customHeight="1">
      <c r="B198" s="1597" t="s">
        <v>539</v>
      </c>
      <c r="C198" s="1598" t="s">
        <v>540</v>
      </c>
      <c r="D198" s="1599" t="s">
        <v>541</v>
      </c>
      <c r="E198" s="1596" t="s">
        <v>4</v>
      </c>
      <c r="F198" s="1596"/>
      <c r="G198" s="1596" t="s">
        <v>5</v>
      </c>
      <c r="H198" s="1596"/>
      <c r="I198" s="1596" t="s">
        <v>6</v>
      </c>
      <c r="J198" s="1596"/>
      <c r="K198" s="1596" t="s">
        <v>7</v>
      </c>
      <c r="L198" s="1596"/>
      <c r="M198" s="1596" t="s">
        <v>8</v>
      </c>
      <c r="N198" s="1596"/>
      <c r="O198" s="1596" t="s">
        <v>9</v>
      </c>
      <c r="P198" s="1596"/>
      <c r="Q198" s="1596" t="s">
        <v>10</v>
      </c>
      <c r="R198" s="1596"/>
      <c r="S198" s="1596" t="s">
        <v>11</v>
      </c>
      <c r="T198" s="1596"/>
      <c r="U198" s="1596" t="s">
        <v>12</v>
      </c>
      <c r="V198" s="1596"/>
    </row>
    <row r="199" spans="2:22" ht="37.35" hidden="1" customHeight="1">
      <c r="B199" s="1597"/>
      <c r="C199" s="1598"/>
      <c r="D199" s="1599"/>
      <c r="E199" s="149" t="s">
        <v>13</v>
      </c>
      <c r="F199" s="150" t="s">
        <v>14</v>
      </c>
      <c r="G199" s="149" t="s">
        <v>13</v>
      </c>
      <c r="H199" s="150" t="s">
        <v>14</v>
      </c>
      <c r="I199" s="149" t="s">
        <v>13</v>
      </c>
      <c r="J199" s="150" t="s">
        <v>14</v>
      </c>
      <c r="K199" s="149" t="s">
        <v>13</v>
      </c>
      <c r="L199" s="150" t="s">
        <v>15</v>
      </c>
      <c r="M199" s="149" t="s">
        <v>16</v>
      </c>
      <c r="N199" s="150" t="s">
        <v>17</v>
      </c>
      <c r="O199" s="149" t="s">
        <v>16</v>
      </c>
      <c r="P199" s="150" t="s">
        <v>17</v>
      </c>
      <c r="Q199" s="149" t="s">
        <v>16</v>
      </c>
      <c r="R199" s="150" t="s">
        <v>17</v>
      </c>
      <c r="S199" s="149" t="s">
        <v>16</v>
      </c>
      <c r="T199" s="150" t="s">
        <v>17</v>
      </c>
      <c r="U199" s="149" t="s">
        <v>16</v>
      </c>
      <c r="V199" s="150" t="s">
        <v>17</v>
      </c>
    </row>
    <row r="200" spans="2:22" hidden="1">
      <c r="B200" s="155">
        <v>1</v>
      </c>
      <c r="C200" s="155">
        <v>2</v>
      </c>
      <c r="D200" s="155">
        <v>3</v>
      </c>
      <c r="E200" s="155">
        <v>4</v>
      </c>
      <c r="F200" s="155">
        <v>5</v>
      </c>
      <c r="G200" s="155">
        <v>6</v>
      </c>
      <c r="H200" s="155">
        <v>7</v>
      </c>
      <c r="I200" s="155">
        <v>8</v>
      </c>
      <c r="J200" s="155">
        <v>9</v>
      </c>
      <c r="K200" s="155">
        <v>10</v>
      </c>
      <c r="L200" s="155">
        <v>11</v>
      </c>
      <c r="M200" s="155">
        <v>12</v>
      </c>
      <c r="N200" s="155">
        <v>13</v>
      </c>
      <c r="O200" s="155">
        <v>14</v>
      </c>
      <c r="P200" s="155">
        <v>15</v>
      </c>
      <c r="Q200" s="155">
        <v>16</v>
      </c>
      <c r="R200" s="155">
        <v>17</v>
      </c>
      <c r="S200" s="155">
        <v>18</v>
      </c>
      <c r="T200" s="155">
        <v>19</v>
      </c>
      <c r="U200" s="155">
        <v>20</v>
      </c>
      <c r="V200" s="155">
        <v>21</v>
      </c>
    </row>
    <row r="201" spans="2:22" hidden="1">
      <c r="B201" s="340"/>
      <c r="C201" s="164" t="s">
        <v>962</v>
      </c>
      <c r="D201" s="42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2:22" hidden="1">
      <c r="B202" s="340"/>
      <c r="C202" s="32" t="s">
        <v>985</v>
      </c>
      <c r="D202" s="16" t="s">
        <v>139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2:22" hidden="1">
      <c r="B203" s="340"/>
      <c r="C203" s="32" t="s">
        <v>986</v>
      </c>
      <c r="D203" s="16" t="s">
        <v>136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2:22" hidden="1">
      <c r="B204" s="340">
        <v>1</v>
      </c>
      <c r="C204" s="439" t="s">
        <v>987</v>
      </c>
      <c r="D204" s="16" t="s">
        <v>22</v>
      </c>
      <c r="E204" s="17">
        <f>E202*E203/1000</f>
        <v>0</v>
      </c>
      <c r="F204" s="17">
        <f t="shared" ref="F204:V204" si="49">F202*F203/1000</f>
        <v>0</v>
      </c>
      <c r="G204" s="17">
        <f t="shared" si="49"/>
        <v>0</v>
      </c>
      <c r="H204" s="17">
        <f t="shared" si="49"/>
        <v>0</v>
      </c>
      <c r="I204" s="17">
        <f t="shared" si="49"/>
        <v>0</v>
      </c>
      <c r="J204" s="17">
        <f t="shared" si="49"/>
        <v>0</v>
      </c>
      <c r="K204" s="17">
        <f t="shared" si="49"/>
        <v>0</v>
      </c>
      <c r="L204" s="17">
        <f t="shared" si="49"/>
        <v>0</v>
      </c>
      <c r="M204" s="17">
        <f t="shared" si="49"/>
        <v>0</v>
      </c>
      <c r="N204" s="17">
        <f t="shared" si="49"/>
        <v>0</v>
      </c>
      <c r="O204" s="17">
        <f t="shared" si="49"/>
        <v>0</v>
      </c>
      <c r="P204" s="17">
        <f t="shared" si="49"/>
        <v>0</v>
      </c>
      <c r="Q204" s="17">
        <f t="shared" si="49"/>
        <v>0</v>
      </c>
      <c r="R204" s="17">
        <f t="shared" si="49"/>
        <v>0</v>
      </c>
      <c r="S204" s="17">
        <f t="shared" si="49"/>
        <v>0</v>
      </c>
      <c r="T204" s="17">
        <f t="shared" si="49"/>
        <v>0</v>
      </c>
      <c r="U204" s="17">
        <f t="shared" si="49"/>
        <v>0</v>
      </c>
      <c r="V204" s="17">
        <f t="shared" si="49"/>
        <v>0</v>
      </c>
    </row>
    <row r="205" spans="2:22" hidden="1">
      <c r="B205" s="340">
        <v>2</v>
      </c>
      <c r="C205" s="164" t="s">
        <v>966</v>
      </c>
      <c r="D205" s="16" t="s">
        <v>22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2:22" hidden="1">
      <c r="B206" s="340">
        <v>3</v>
      </c>
      <c r="C206" s="164" t="s">
        <v>967</v>
      </c>
      <c r="D206" s="16" t="s">
        <v>22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2:22" ht="38.25" hidden="1">
      <c r="B207" s="441"/>
      <c r="C207" s="295" t="s">
        <v>988</v>
      </c>
      <c r="D207" s="420" t="s">
        <v>22</v>
      </c>
      <c r="E207" s="297">
        <f>E204+E205+E206</f>
        <v>0</v>
      </c>
      <c r="F207" s="297">
        <f t="shared" ref="F207:V207" si="50">F204+F205+F206</f>
        <v>0</v>
      </c>
      <c r="G207" s="297">
        <f t="shared" si="50"/>
        <v>0</v>
      </c>
      <c r="H207" s="297">
        <f t="shared" si="50"/>
        <v>0</v>
      </c>
      <c r="I207" s="297">
        <f t="shared" si="50"/>
        <v>0</v>
      </c>
      <c r="J207" s="297">
        <f t="shared" si="50"/>
        <v>0</v>
      </c>
      <c r="K207" s="297">
        <f t="shared" si="50"/>
        <v>0</v>
      </c>
      <c r="L207" s="297">
        <f t="shared" si="50"/>
        <v>0</v>
      </c>
      <c r="M207" s="297">
        <f t="shared" si="50"/>
        <v>0</v>
      </c>
      <c r="N207" s="297">
        <f t="shared" si="50"/>
        <v>0</v>
      </c>
      <c r="O207" s="297">
        <f t="shared" si="50"/>
        <v>0</v>
      </c>
      <c r="P207" s="297">
        <f t="shared" si="50"/>
        <v>0</v>
      </c>
      <c r="Q207" s="297">
        <f t="shared" si="50"/>
        <v>0</v>
      </c>
      <c r="R207" s="297">
        <f t="shared" si="50"/>
        <v>0</v>
      </c>
      <c r="S207" s="297">
        <f t="shared" si="50"/>
        <v>0</v>
      </c>
      <c r="T207" s="297">
        <f t="shared" si="50"/>
        <v>0</v>
      </c>
      <c r="U207" s="297">
        <f t="shared" si="50"/>
        <v>0</v>
      </c>
      <c r="V207" s="297">
        <f t="shared" si="50"/>
        <v>0</v>
      </c>
    </row>
    <row r="209" spans="2:22">
      <c r="I209" s="1">
        <v>1.0283150000000001</v>
      </c>
      <c r="M209" s="1">
        <v>1.04</v>
      </c>
      <c r="O209" s="1">
        <v>1.04</v>
      </c>
      <c r="Q209" s="1">
        <v>1.04</v>
      </c>
      <c r="S209" s="1">
        <v>1.04</v>
      </c>
      <c r="U209" s="1">
        <v>1.04</v>
      </c>
    </row>
    <row r="210" spans="2:22" s="332" customFormat="1" ht="20.45" customHeight="1">
      <c r="B210" s="419" t="s">
        <v>989</v>
      </c>
      <c r="C210" s="442"/>
      <c r="D210" s="442"/>
      <c r="E210" s="442"/>
      <c r="F210" s="442"/>
      <c r="G210" s="442"/>
      <c r="H210" s="442"/>
      <c r="I210" s="442"/>
      <c r="J210" s="442"/>
      <c r="K210" s="442"/>
      <c r="L210" s="442"/>
      <c r="M210" s="443"/>
      <c r="N210" s="443"/>
      <c r="O210" s="443"/>
      <c r="P210" s="443"/>
      <c r="Q210" s="443"/>
      <c r="R210" s="443"/>
      <c r="S210" s="443"/>
      <c r="T210" s="443"/>
      <c r="U210" s="443"/>
      <c r="V210" s="443"/>
    </row>
    <row r="211" spans="2:22" s="332" customFormat="1" ht="24.75" customHeight="1">
      <c r="B211" s="1597" t="s">
        <v>539</v>
      </c>
      <c r="C211" s="1598" t="s">
        <v>540</v>
      </c>
      <c r="D211" s="1599" t="s">
        <v>541</v>
      </c>
      <c r="E211" s="1596" t="s">
        <v>4</v>
      </c>
      <c r="F211" s="1596"/>
      <c r="G211" s="1596" t="s">
        <v>5</v>
      </c>
      <c r="H211" s="1596"/>
      <c r="I211" s="1596" t="s">
        <v>6</v>
      </c>
      <c r="J211" s="1596"/>
      <c r="K211" s="1596" t="s">
        <v>7</v>
      </c>
      <c r="L211" s="1596"/>
      <c r="M211" s="1596" t="s">
        <v>8</v>
      </c>
      <c r="N211" s="1596"/>
      <c r="O211" s="1596" t="s">
        <v>9</v>
      </c>
      <c r="P211" s="1596"/>
      <c r="Q211" s="1596" t="s">
        <v>10</v>
      </c>
      <c r="R211" s="1596"/>
      <c r="S211" s="1596" t="s">
        <v>11</v>
      </c>
      <c r="T211" s="1596"/>
      <c r="U211" s="1596" t="s">
        <v>12</v>
      </c>
      <c r="V211" s="1596"/>
    </row>
    <row r="212" spans="2:22" s="332" customFormat="1" ht="41.25" customHeight="1">
      <c r="B212" s="1597"/>
      <c r="C212" s="1598"/>
      <c r="D212" s="1599"/>
      <c r="E212" s="149" t="s">
        <v>13</v>
      </c>
      <c r="F212" s="150" t="s">
        <v>14</v>
      </c>
      <c r="G212" s="149" t="s">
        <v>13</v>
      </c>
      <c r="H212" s="150" t="s">
        <v>14</v>
      </c>
      <c r="I212" s="149" t="s">
        <v>13</v>
      </c>
      <c r="J212" s="150" t="s">
        <v>14</v>
      </c>
      <c r="K212" s="149" t="s">
        <v>13</v>
      </c>
      <c r="L212" s="150" t="s">
        <v>14</v>
      </c>
      <c r="M212" s="149" t="s">
        <v>16</v>
      </c>
      <c r="N212" s="150" t="s">
        <v>17</v>
      </c>
      <c r="O212" s="150" t="s">
        <v>17</v>
      </c>
      <c r="P212" s="150" t="s">
        <v>17</v>
      </c>
      <c r="Q212" s="150" t="s">
        <v>17</v>
      </c>
      <c r="R212" s="150" t="s">
        <v>17</v>
      </c>
      <c r="S212" s="150" t="s">
        <v>17</v>
      </c>
      <c r="T212" s="150" t="s">
        <v>17</v>
      </c>
      <c r="U212" s="150" t="s">
        <v>17</v>
      </c>
      <c r="V212" s="150" t="s">
        <v>17</v>
      </c>
    </row>
    <row r="213" spans="2:22" s="332" customFormat="1">
      <c r="B213" s="155">
        <v>1</v>
      </c>
      <c r="C213" s="155">
        <v>2</v>
      </c>
      <c r="D213" s="155">
        <v>3</v>
      </c>
      <c r="E213" s="155">
        <v>4</v>
      </c>
      <c r="F213" s="155">
        <v>5</v>
      </c>
      <c r="G213" s="155">
        <v>6</v>
      </c>
      <c r="H213" s="155">
        <v>7</v>
      </c>
      <c r="I213" s="155">
        <v>8</v>
      </c>
      <c r="J213" s="155">
        <v>9</v>
      </c>
      <c r="K213" s="155">
        <v>10</v>
      </c>
      <c r="L213" s="155">
        <v>11</v>
      </c>
      <c r="M213" s="155">
        <v>12</v>
      </c>
      <c r="N213" s="155">
        <v>13</v>
      </c>
      <c r="O213" s="155">
        <v>14</v>
      </c>
      <c r="P213" s="155">
        <v>15</v>
      </c>
      <c r="Q213" s="155">
        <v>16</v>
      </c>
      <c r="R213" s="155">
        <v>17</v>
      </c>
      <c r="S213" s="155">
        <v>18</v>
      </c>
      <c r="T213" s="155">
        <v>19</v>
      </c>
      <c r="U213" s="155">
        <v>20</v>
      </c>
      <c r="V213" s="155">
        <v>21</v>
      </c>
    </row>
    <row r="214" spans="2:22" s="332" customFormat="1">
      <c r="B214" s="416"/>
      <c r="C214" s="164" t="s">
        <v>1293</v>
      </c>
      <c r="D214" s="155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</row>
    <row r="215" spans="2:22" s="332" customFormat="1">
      <c r="B215" s="444"/>
      <c r="C215" s="32" t="s">
        <v>1104</v>
      </c>
      <c r="D215" s="16" t="s">
        <v>139</v>
      </c>
      <c r="E215" s="422">
        <v>118.98</v>
      </c>
      <c r="F215" s="422">
        <v>99.26</v>
      </c>
      <c r="G215" s="422">
        <v>111.191</v>
      </c>
      <c r="H215" s="422">
        <v>14.53</v>
      </c>
      <c r="I215" s="422">
        <f>G215</f>
        <v>111.191</v>
      </c>
      <c r="J215" s="422"/>
      <c r="K215" s="422"/>
      <c r="L215" s="422">
        <v>16.739999999999998</v>
      </c>
      <c r="M215" s="422">
        <f>L215</f>
        <v>16.739999999999998</v>
      </c>
      <c r="N215" s="422"/>
      <c r="O215" s="422">
        <f>M215</f>
        <v>16.739999999999998</v>
      </c>
      <c r="P215" s="422"/>
      <c r="Q215" s="422">
        <f>O215</f>
        <v>16.739999999999998</v>
      </c>
      <c r="R215" s="422"/>
      <c r="S215" s="422">
        <f>Q215</f>
        <v>16.739999999999998</v>
      </c>
      <c r="T215" s="422"/>
      <c r="U215" s="422">
        <f>S215</f>
        <v>16.739999999999998</v>
      </c>
      <c r="V215" s="422"/>
    </row>
    <row r="216" spans="2:22" s="332" customFormat="1" ht="21">
      <c r="B216" s="445"/>
      <c r="C216" s="32" t="s">
        <v>1105</v>
      </c>
      <c r="D216" s="16" t="s">
        <v>136</v>
      </c>
      <c r="E216" s="422">
        <v>7.97</v>
      </c>
      <c r="F216" s="422">
        <v>7.97</v>
      </c>
      <c r="G216" s="422">
        <v>7.97</v>
      </c>
      <c r="H216" s="422">
        <v>7.97</v>
      </c>
      <c r="I216" s="422">
        <f>G216*I209</f>
        <v>8.1956705500000009</v>
      </c>
      <c r="J216" s="422"/>
      <c r="K216" s="422"/>
      <c r="L216" s="422">
        <v>24.95</v>
      </c>
      <c r="M216" s="422">
        <f>L216*M209</f>
        <v>25.948</v>
      </c>
      <c r="N216" s="422"/>
      <c r="O216" s="422">
        <f>M216*O209</f>
        <v>26.98592</v>
      </c>
      <c r="P216" s="422"/>
      <c r="Q216" s="422">
        <f>O216*Q209</f>
        <v>28.0653568</v>
      </c>
      <c r="R216" s="422"/>
      <c r="S216" s="422">
        <f>Q216*S209</f>
        <v>29.187971072</v>
      </c>
      <c r="T216" s="422"/>
      <c r="U216" s="422">
        <f>S216*U209</f>
        <v>30.35548991488</v>
      </c>
      <c r="V216" s="422"/>
    </row>
    <row r="217" spans="2:22" s="332" customFormat="1" ht="21">
      <c r="B217" s="445" t="s">
        <v>20</v>
      </c>
      <c r="C217" s="15" t="s">
        <v>1294</v>
      </c>
      <c r="D217" s="16" t="s">
        <v>22</v>
      </c>
      <c r="E217" s="181">
        <f>E215*E216</f>
        <v>948.27060000000006</v>
      </c>
      <c r="F217" s="181">
        <f t="shared" ref="F217:V217" si="51">F215*F216</f>
        <v>791.10220000000004</v>
      </c>
      <c r="G217" s="181">
        <f t="shared" si="51"/>
        <v>886.19227000000001</v>
      </c>
      <c r="H217" s="181">
        <f t="shared" si="51"/>
        <v>115.80409999999999</v>
      </c>
      <c r="I217" s="181">
        <f t="shared" si="51"/>
        <v>911.28480412505007</v>
      </c>
      <c r="J217" s="181">
        <f t="shared" si="51"/>
        <v>0</v>
      </c>
      <c r="K217" s="181">
        <f t="shared" si="51"/>
        <v>0</v>
      </c>
      <c r="L217" s="181">
        <f t="shared" si="51"/>
        <v>417.66299999999995</v>
      </c>
      <c r="M217" s="181">
        <f t="shared" si="51"/>
        <v>434.36951999999997</v>
      </c>
      <c r="N217" s="181">
        <f t="shared" si="51"/>
        <v>0</v>
      </c>
      <c r="O217" s="181">
        <f t="shared" si="51"/>
        <v>451.74430079999996</v>
      </c>
      <c r="P217" s="181">
        <f t="shared" si="51"/>
        <v>0</v>
      </c>
      <c r="Q217" s="181">
        <f t="shared" si="51"/>
        <v>469.81407283199997</v>
      </c>
      <c r="R217" s="181">
        <f t="shared" si="51"/>
        <v>0</v>
      </c>
      <c r="S217" s="181">
        <f t="shared" si="51"/>
        <v>488.60663574527996</v>
      </c>
      <c r="T217" s="181">
        <f t="shared" si="51"/>
        <v>0</v>
      </c>
      <c r="U217" s="181">
        <f t="shared" si="51"/>
        <v>508.15090117509112</v>
      </c>
      <c r="V217" s="181">
        <f t="shared" si="51"/>
        <v>0</v>
      </c>
    </row>
    <row r="218" spans="2:22" s="332" customFormat="1">
      <c r="B218" s="445" t="s">
        <v>196</v>
      </c>
      <c r="C218" s="164" t="s">
        <v>1295</v>
      </c>
      <c r="D218" s="1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</row>
    <row r="219" spans="2:22" s="332" customFormat="1">
      <c r="B219" s="445"/>
      <c r="C219" s="32" t="s">
        <v>1104</v>
      </c>
      <c r="D219" s="16" t="s">
        <v>139</v>
      </c>
      <c r="E219" s="422">
        <v>2023.78</v>
      </c>
      <c r="F219" s="422"/>
      <c r="G219" s="422">
        <v>1925.2059999999999</v>
      </c>
      <c r="H219" s="422">
        <v>0</v>
      </c>
      <c r="I219" s="422">
        <f>G219</f>
        <v>1925.2059999999999</v>
      </c>
      <c r="J219" s="422"/>
      <c r="K219" s="422"/>
      <c r="L219" s="422">
        <v>15.016</v>
      </c>
      <c r="M219" s="422">
        <f>L219</f>
        <v>15.016</v>
      </c>
      <c r="N219" s="422"/>
      <c r="O219" s="422">
        <f>M219</f>
        <v>15.016</v>
      </c>
      <c r="P219" s="422"/>
      <c r="Q219" s="422">
        <f>O219</f>
        <v>15.016</v>
      </c>
      <c r="R219" s="422"/>
      <c r="S219" s="422">
        <f>Q219</f>
        <v>15.016</v>
      </c>
      <c r="T219" s="422"/>
      <c r="U219" s="422">
        <f>S219</f>
        <v>15.016</v>
      </c>
      <c r="V219" s="422"/>
    </row>
    <row r="220" spans="2:22" s="332" customFormat="1" ht="21">
      <c r="B220" s="445"/>
      <c r="C220" s="32" t="s">
        <v>1105</v>
      </c>
      <c r="D220" s="16" t="s">
        <v>136</v>
      </c>
      <c r="E220" s="422">
        <v>3.39</v>
      </c>
      <c r="F220" s="422"/>
      <c r="G220" s="422">
        <v>3.65</v>
      </c>
      <c r="H220" s="422">
        <v>0</v>
      </c>
      <c r="I220" s="422">
        <f>G220*I209</f>
        <v>3.7533497500000004</v>
      </c>
      <c r="J220" s="422"/>
      <c r="K220" s="422"/>
      <c r="L220" s="422">
        <v>15.7</v>
      </c>
      <c r="M220" s="422">
        <f>L220*M209</f>
        <v>16.327999999999999</v>
      </c>
      <c r="N220" s="422"/>
      <c r="O220" s="422">
        <f>M220*O209</f>
        <v>16.981120000000001</v>
      </c>
      <c r="P220" s="422"/>
      <c r="Q220" s="422">
        <f>O220*Q209</f>
        <v>17.6603648</v>
      </c>
      <c r="R220" s="422"/>
      <c r="S220" s="422">
        <f>Q220*S209</f>
        <v>18.366779392000002</v>
      </c>
      <c r="T220" s="422"/>
      <c r="U220" s="422">
        <f>S220*U209</f>
        <v>19.101450567680001</v>
      </c>
      <c r="V220" s="422"/>
    </row>
    <row r="221" spans="2:22" s="332" customFormat="1" ht="31.5">
      <c r="B221" s="445"/>
      <c r="C221" s="15" t="s">
        <v>1296</v>
      </c>
      <c r="D221" s="16" t="s">
        <v>22</v>
      </c>
      <c r="E221" s="181">
        <f t="shared" ref="E221:V221" si="52">E219*E220</f>
        <v>6860.6142</v>
      </c>
      <c r="F221" s="181">
        <f t="shared" si="52"/>
        <v>0</v>
      </c>
      <c r="G221" s="181">
        <f t="shared" si="52"/>
        <v>7027.0018999999993</v>
      </c>
      <c r="H221" s="181">
        <f t="shared" si="52"/>
        <v>0</v>
      </c>
      <c r="I221" s="181">
        <f t="shared" si="52"/>
        <v>7225.9714587985</v>
      </c>
      <c r="J221" s="181">
        <f t="shared" si="52"/>
        <v>0</v>
      </c>
      <c r="K221" s="181">
        <f t="shared" si="52"/>
        <v>0</v>
      </c>
      <c r="L221" s="181">
        <f t="shared" si="52"/>
        <v>235.75119999999998</v>
      </c>
      <c r="M221" s="181">
        <f t="shared" si="52"/>
        <v>245.18124799999998</v>
      </c>
      <c r="N221" s="181">
        <f t="shared" si="52"/>
        <v>0</v>
      </c>
      <c r="O221" s="181">
        <f t="shared" si="52"/>
        <v>254.98849792000001</v>
      </c>
      <c r="P221" s="181">
        <f t="shared" si="52"/>
        <v>0</v>
      </c>
      <c r="Q221" s="181">
        <f t="shared" si="52"/>
        <v>265.18803783679999</v>
      </c>
      <c r="R221" s="181">
        <f t="shared" si="52"/>
        <v>0</v>
      </c>
      <c r="S221" s="181">
        <f t="shared" si="52"/>
        <v>275.79555935027201</v>
      </c>
      <c r="T221" s="181">
        <f t="shared" si="52"/>
        <v>0</v>
      </c>
      <c r="U221" s="181">
        <f t="shared" si="52"/>
        <v>286.82738172428287</v>
      </c>
      <c r="V221" s="181">
        <f t="shared" si="52"/>
        <v>0</v>
      </c>
    </row>
    <row r="222" spans="2:22" s="332" customFormat="1">
      <c r="B222" s="445"/>
      <c r="C222" s="164" t="s">
        <v>636</v>
      </c>
      <c r="D222" s="1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</row>
    <row r="223" spans="2:22" s="332" customFormat="1">
      <c r="B223" s="445"/>
      <c r="C223" s="32" t="s">
        <v>1104</v>
      </c>
      <c r="D223" s="16" t="s">
        <v>139</v>
      </c>
      <c r="E223" s="422"/>
      <c r="F223" s="422"/>
      <c r="G223" s="422">
        <v>14.77</v>
      </c>
      <c r="H223" s="422">
        <v>2.06</v>
      </c>
      <c r="I223" s="422">
        <f>G223</f>
        <v>14.77</v>
      </c>
      <c r="J223" s="422">
        <f>856/1000</f>
        <v>0.85599999999999998</v>
      </c>
      <c r="K223" s="422"/>
      <c r="L223" s="422">
        <v>10.273999999999999</v>
      </c>
      <c r="M223" s="422">
        <f>L223</f>
        <v>10.273999999999999</v>
      </c>
      <c r="N223" s="422"/>
      <c r="O223" s="422">
        <f>M223</f>
        <v>10.273999999999999</v>
      </c>
      <c r="P223" s="422"/>
      <c r="Q223" s="422">
        <f>O223</f>
        <v>10.273999999999999</v>
      </c>
      <c r="R223" s="422"/>
      <c r="S223" s="422">
        <f>Q223</f>
        <v>10.273999999999999</v>
      </c>
      <c r="T223" s="422"/>
      <c r="U223" s="422">
        <f>S223</f>
        <v>10.273999999999999</v>
      </c>
      <c r="V223" s="422"/>
    </row>
    <row r="224" spans="2:22" s="332" customFormat="1" ht="21">
      <c r="B224" s="445"/>
      <c r="C224" s="32" t="s">
        <v>1105</v>
      </c>
      <c r="D224" s="16" t="s">
        <v>136</v>
      </c>
      <c r="E224" s="422"/>
      <c r="F224" s="422"/>
      <c r="G224" s="422">
        <f>436.75/14.77</f>
        <v>29.570074475287747</v>
      </c>
      <c r="H224" s="422">
        <f>60.86/2.06</f>
        <v>29.543689320388349</v>
      </c>
      <c r="I224" s="422">
        <f>G224*I209</f>
        <v>30.407351134055521</v>
      </c>
      <c r="J224" s="422">
        <v>29.57</v>
      </c>
      <c r="K224" s="422"/>
      <c r="L224" s="422">
        <v>30.39</v>
      </c>
      <c r="M224" s="422">
        <f>L224*M209</f>
        <v>31.605600000000003</v>
      </c>
      <c r="N224" s="422"/>
      <c r="O224" s="422">
        <f>M224*O209</f>
        <v>32.869824000000001</v>
      </c>
      <c r="P224" s="422"/>
      <c r="Q224" s="422">
        <f>O224*Q209</f>
        <v>34.18461696</v>
      </c>
      <c r="R224" s="422"/>
      <c r="S224" s="422">
        <f>Q224*S209</f>
        <v>35.5520016384</v>
      </c>
      <c r="T224" s="422"/>
      <c r="U224" s="422">
        <f>S224*U209</f>
        <v>36.974081703936001</v>
      </c>
      <c r="V224" s="422"/>
    </row>
    <row r="225" spans="2:22" s="332" customFormat="1" ht="31.5">
      <c r="B225" s="445"/>
      <c r="C225" s="15" t="s">
        <v>1106</v>
      </c>
      <c r="D225" s="16" t="s">
        <v>22</v>
      </c>
      <c r="E225" s="181">
        <f t="shared" ref="E225:V225" si="53">E223*E224</f>
        <v>0</v>
      </c>
      <c r="F225" s="181">
        <f t="shared" si="53"/>
        <v>0</v>
      </c>
      <c r="G225" s="181">
        <f t="shared" si="53"/>
        <v>436.75</v>
      </c>
      <c r="H225" s="181">
        <f t="shared" si="53"/>
        <v>60.86</v>
      </c>
      <c r="I225" s="181">
        <f t="shared" si="53"/>
        <v>449.11657625000004</v>
      </c>
      <c r="J225" s="181">
        <f>J223*J224</f>
        <v>25.311920000000001</v>
      </c>
      <c r="K225" s="181">
        <f t="shared" si="53"/>
        <v>0</v>
      </c>
      <c r="L225" s="181">
        <f t="shared" si="53"/>
        <v>312.22685999999999</v>
      </c>
      <c r="M225" s="181">
        <f t="shared" si="53"/>
        <v>324.71593439999998</v>
      </c>
      <c r="N225" s="181">
        <f t="shared" si="53"/>
        <v>0</v>
      </c>
      <c r="O225" s="181">
        <f t="shared" si="53"/>
        <v>337.70457177599997</v>
      </c>
      <c r="P225" s="181">
        <f t="shared" si="53"/>
        <v>0</v>
      </c>
      <c r="Q225" s="181">
        <f t="shared" si="53"/>
        <v>351.21275464703996</v>
      </c>
      <c r="R225" s="181">
        <f t="shared" si="53"/>
        <v>0</v>
      </c>
      <c r="S225" s="181">
        <f t="shared" si="53"/>
        <v>365.2612648329216</v>
      </c>
      <c r="T225" s="181">
        <f t="shared" si="53"/>
        <v>0</v>
      </c>
      <c r="U225" s="181">
        <f t="shared" si="53"/>
        <v>379.87171542623844</v>
      </c>
      <c r="V225" s="181">
        <f t="shared" si="53"/>
        <v>0</v>
      </c>
    </row>
    <row r="226" spans="2:22" s="332" customFormat="1" ht="31.5">
      <c r="B226" s="479" t="s">
        <v>582</v>
      </c>
      <c r="C226" s="15" t="s">
        <v>1107</v>
      </c>
      <c r="D226" s="16" t="s">
        <v>22</v>
      </c>
      <c r="E226" s="181">
        <f>E217+E218+E221+E225</f>
        <v>7808.8847999999998</v>
      </c>
      <c r="F226" s="181">
        <f t="shared" ref="F226:V226" si="54">F217+F218+F221+F225</f>
        <v>791.10220000000004</v>
      </c>
      <c r="G226" s="181">
        <f>G217+G218+G221+G225</f>
        <v>8349.9441699999988</v>
      </c>
      <c r="H226" s="181">
        <f t="shared" si="54"/>
        <v>176.66409999999999</v>
      </c>
      <c r="I226" s="181">
        <f t="shared" si="54"/>
        <v>8586.3728391735494</v>
      </c>
      <c r="J226" s="181">
        <f t="shared" si="54"/>
        <v>25.311920000000001</v>
      </c>
      <c r="K226" s="181">
        <f t="shared" si="54"/>
        <v>0</v>
      </c>
      <c r="L226" s="181">
        <f t="shared" si="54"/>
        <v>965.64105999999992</v>
      </c>
      <c r="M226" s="181">
        <f t="shared" si="54"/>
        <v>1004.2667024</v>
      </c>
      <c r="N226" s="181">
        <f t="shared" si="54"/>
        <v>0</v>
      </c>
      <c r="O226" s="181">
        <f t="shared" si="54"/>
        <v>1044.4373704959999</v>
      </c>
      <c r="P226" s="181">
        <f t="shared" si="54"/>
        <v>0</v>
      </c>
      <c r="Q226" s="181">
        <f t="shared" si="54"/>
        <v>1086.2148653158399</v>
      </c>
      <c r="R226" s="181">
        <f t="shared" si="54"/>
        <v>0</v>
      </c>
      <c r="S226" s="181">
        <f t="shared" si="54"/>
        <v>1129.6634599284735</v>
      </c>
      <c r="T226" s="181">
        <f t="shared" si="54"/>
        <v>0</v>
      </c>
      <c r="U226" s="181">
        <f t="shared" si="54"/>
        <v>1174.8499983256124</v>
      </c>
      <c r="V226" s="181">
        <f t="shared" si="54"/>
        <v>0</v>
      </c>
    </row>
    <row r="227" spans="2:22" s="332" customFormat="1">
      <c r="B227" s="446"/>
      <c r="C227" s="164" t="s">
        <v>962</v>
      </c>
      <c r="D227" s="1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</row>
    <row r="228" spans="2:22" s="332" customFormat="1">
      <c r="B228" s="445" t="s">
        <v>585</v>
      </c>
      <c r="C228" s="164" t="s">
        <v>1108</v>
      </c>
      <c r="D228" s="1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</row>
    <row r="229" spans="2:22" s="332" customFormat="1">
      <c r="B229" s="445"/>
      <c r="C229" s="32" t="s">
        <v>1109</v>
      </c>
      <c r="D229" s="16" t="s">
        <v>139</v>
      </c>
      <c r="E229" s="422"/>
      <c r="F229" s="422">
        <v>2.5369999999999999</v>
      </c>
      <c r="G229" s="422"/>
      <c r="H229" s="422"/>
      <c r="I229" s="422"/>
      <c r="J229" s="422">
        <v>12.84</v>
      </c>
      <c r="K229" s="422"/>
      <c r="L229" s="422">
        <v>0</v>
      </c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</row>
    <row r="230" spans="2:22" s="332" customFormat="1">
      <c r="B230" s="445"/>
      <c r="C230" s="32" t="s">
        <v>1110</v>
      </c>
      <c r="D230" s="16" t="s">
        <v>136</v>
      </c>
      <c r="E230" s="422"/>
      <c r="F230" s="422">
        <v>18.11</v>
      </c>
      <c r="G230" s="422"/>
      <c r="H230" s="422"/>
      <c r="I230" s="422"/>
      <c r="J230" s="422">
        <v>19.54</v>
      </c>
      <c r="K230" s="422"/>
      <c r="L230" s="422">
        <f>J230</f>
        <v>19.54</v>
      </c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</row>
    <row r="231" spans="2:22" s="332" customFormat="1" ht="21">
      <c r="B231" s="445"/>
      <c r="C231" s="15" t="s">
        <v>1111</v>
      </c>
      <c r="D231" s="110" t="s">
        <v>22</v>
      </c>
      <c r="E231" s="181">
        <f>E229*E230</f>
        <v>0</v>
      </c>
      <c r="F231" s="181">
        <f t="shared" ref="F231:V231" si="55">F229*F230</f>
        <v>45.945069999999994</v>
      </c>
      <c r="G231" s="181">
        <f t="shared" si="55"/>
        <v>0</v>
      </c>
      <c r="H231" s="181">
        <f t="shared" si="55"/>
        <v>0</v>
      </c>
      <c r="I231" s="181">
        <f t="shared" si="55"/>
        <v>0</v>
      </c>
      <c r="J231" s="181">
        <f t="shared" si="55"/>
        <v>250.89359999999999</v>
      </c>
      <c r="K231" s="181">
        <f t="shared" si="55"/>
        <v>0</v>
      </c>
      <c r="L231" s="181">
        <f t="shared" si="55"/>
        <v>0</v>
      </c>
      <c r="M231" s="181">
        <f t="shared" si="55"/>
        <v>0</v>
      </c>
      <c r="N231" s="181">
        <f t="shared" si="55"/>
        <v>0</v>
      </c>
      <c r="O231" s="181">
        <f t="shared" si="55"/>
        <v>0</v>
      </c>
      <c r="P231" s="181">
        <f t="shared" si="55"/>
        <v>0</v>
      </c>
      <c r="Q231" s="181">
        <f t="shared" si="55"/>
        <v>0</v>
      </c>
      <c r="R231" s="181">
        <f t="shared" si="55"/>
        <v>0</v>
      </c>
      <c r="S231" s="181">
        <f t="shared" si="55"/>
        <v>0</v>
      </c>
      <c r="T231" s="181">
        <f t="shared" si="55"/>
        <v>0</v>
      </c>
      <c r="U231" s="181">
        <f t="shared" si="55"/>
        <v>0</v>
      </c>
      <c r="V231" s="181">
        <f t="shared" si="55"/>
        <v>0</v>
      </c>
    </row>
    <row r="232" spans="2:22" s="332" customFormat="1">
      <c r="B232" s="445" t="s">
        <v>678</v>
      </c>
      <c r="C232" s="164" t="s">
        <v>637</v>
      </c>
      <c r="D232" s="1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</row>
    <row r="233" spans="2:22" s="332" customFormat="1">
      <c r="B233" s="445"/>
      <c r="C233" s="32" t="s">
        <v>1109</v>
      </c>
      <c r="D233" s="16" t="s">
        <v>139</v>
      </c>
      <c r="E233" s="422">
        <v>29.2</v>
      </c>
      <c r="F233" s="422">
        <v>31.61</v>
      </c>
      <c r="G233" s="422">
        <v>31.5</v>
      </c>
      <c r="H233" s="422">
        <v>32.520000000000003</v>
      </c>
      <c r="I233" s="422">
        <v>31.5</v>
      </c>
      <c r="J233" s="422">
        <v>21.478999999999999</v>
      </c>
      <c r="K233" s="422"/>
      <c r="L233" s="422">
        <v>0</v>
      </c>
      <c r="M233" s="422"/>
      <c r="N233" s="422"/>
      <c r="O233" s="422"/>
      <c r="P233" s="422"/>
      <c r="Q233" s="422"/>
      <c r="R233" s="422"/>
      <c r="S233" s="422"/>
      <c r="T233" s="422"/>
      <c r="U233" s="422"/>
      <c r="V233" s="422"/>
    </row>
    <row r="234" spans="2:22" s="332" customFormat="1">
      <c r="B234" s="445"/>
      <c r="C234" s="32" t="s">
        <v>1110</v>
      </c>
      <c r="D234" s="16" t="s">
        <v>136</v>
      </c>
      <c r="E234" s="422">
        <v>21</v>
      </c>
      <c r="F234" s="422">
        <v>21</v>
      </c>
      <c r="G234" s="422">
        <v>22.13</v>
      </c>
      <c r="H234" s="422">
        <v>21.25</v>
      </c>
      <c r="I234" s="422">
        <v>24.1</v>
      </c>
      <c r="J234" s="422">
        <v>22.75</v>
      </c>
      <c r="K234" s="422"/>
      <c r="L234" s="422">
        <f>J234</f>
        <v>22.75</v>
      </c>
      <c r="M234" s="422"/>
      <c r="N234" s="422"/>
      <c r="O234" s="422"/>
      <c r="P234" s="422"/>
      <c r="Q234" s="422"/>
      <c r="R234" s="422"/>
      <c r="S234" s="422"/>
      <c r="T234" s="422"/>
      <c r="U234" s="422"/>
      <c r="V234" s="422"/>
    </row>
    <row r="235" spans="2:22" s="332" customFormat="1" ht="21">
      <c r="B235" s="446" t="s">
        <v>679</v>
      </c>
      <c r="C235" s="15" t="s">
        <v>1112</v>
      </c>
      <c r="D235" s="110" t="s">
        <v>22</v>
      </c>
      <c r="E235" s="181">
        <f>E233*E234</f>
        <v>613.19999999999993</v>
      </c>
      <c r="F235" s="181">
        <f t="shared" ref="F235:V235" si="56">F233*F234</f>
        <v>663.81</v>
      </c>
      <c r="G235" s="181">
        <f t="shared" si="56"/>
        <v>697.09499999999991</v>
      </c>
      <c r="H235" s="181">
        <f t="shared" si="56"/>
        <v>691.05000000000007</v>
      </c>
      <c r="I235" s="181">
        <f t="shared" si="56"/>
        <v>759.15000000000009</v>
      </c>
      <c r="J235" s="181">
        <f t="shared" si="56"/>
        <v>488.64724999999999</v>
      </c>
      <c r="K235" s="181">
        <f t="shared" si="56"/>
        <v>0</v>
      </c>
      <c r="L235" s="181">
        <f>L237*L238</f>
        <v>0</v>
      </c>
      <c r="M235" s="181">
        <f t="shared" si="56"/>
        <v>0</v>
      </c>
      <c r="N235" s="181">
        <f t="shared" si="56"/>
        <v>0</v>
      </c>
      <c r="O235" s="181">
        <f t="shared" si="56"/>
        <v>0</v>
      </c>
      <c r="P235" s="181">
        <f t="shared" si="56"/>
        <v>0</v>
      </c>
      <c r="Q235" s="181">
        <f t="shared" si="56"/>
        <v>0</v>
      </c>
      <c r="R235" s="181">
        <f t="shared" si="56"/>
        <v>0</v>
      </c>
      <c r="S235" s="181">
        <f t="shared" si="56"/>
        <v>0</v>
      </c>
      <c r="T235" s="181">
        <f t="shared" si="56"/>
        <v>0</v>
      </c>
      <c r="U235" s="181">
        <f t="shared" si="56"/>
        <v>0</v>
      </c>
      <c r="V235" s="181">
        <f t="shared" si="56"/>
        <v>0</v>
      </c>
    </row>
    <row r="236" spans="2:22" s="332" customFormat="1" ht="21">
      <c r="B236" s="445"/>
      <c r="C236" s="164" t="s">
        <v>638</v>
      </c>
      <c r="D236" s="1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</row>
    <row r="237" spans="2:22" s="332" customFormat="1">
      <c r="B237" s="445"/>
      <c r="C237" s="32" t="s">
        <v>1109</v>
      </c>
      <c r="D237" s="16" t="s">
        <v>139</v>
      </c>
      <c r="E237" s="422">
        <v>29.93</v>
      </c>
      <c r="F237" s="422">
        <v>61.94</v>
      </c>
      <c r="G237" s="422">
        <v>28.284099999999999</v>
      </c>
      <c r="H237" s="422">
        <v>15.56</v>
      </c>
      <c r="I237" s="422">
        <v>29.1</v>
      </c>
      <c r="J237" s="422">
        <f>19346.04/1000</f>
        <v>19.346040000000002</v>
      </c>
      <c r="K237" s="422"/>
      <c r="L237" s="422">
        <v>0</v>
      </c>
      <c r="M237" s="422"/>
      <c r="N237" s="422"/>
      <c r="O237" s="422"/>
      <c r="P237" s="422"/>
      <c r="Q237" s="422"/>
      <c r="R237" s="422"/>
      <c r="S237" s="422"/>
      <c r="T237" s="422"/>
      <c r="U237" s="422"/>
      <c r="V237" s="422"/>
    </row>
    <row r="238" spans="2:22" s="332" customFormat="1">
      <c r="B238" s="445"/>
      <c r="C238" s="32" t="s">
        <v>1110</v>
      </c>
      <c r="D238" s="16" t="s">
        <v>136</v>
      </c>
      <c r="E238" s="422">
        <v>12.77</v>
      </c>
      <c r="F238" s="422">
        <v>12.77</v>
      </c>
      <c r="G238" s="422">
        <v>14.15</v>
      </c>
      <c r="H238" s="422">
        <v>13.3</v>
      </c>
      <c r="I238" s="422">
        <v>15.35</v>
      </c>
      <c r="J238" s="422">
        <v>15.7</v>
      </c>
      <c r="K238" s="422"/>
      <c r="L238" s="422">
        <v>24.95</v>
      </c>
      <c r="M238" s="422"/>
      <c r="N238" s="422"/>
      <c r="O238" s="422"/>
      <c r="P238" s="422"/>
      <c r="Q238" s="422"/>
      <c r="R238" s="422"/>
      <c r="S238" s="422"/>
      <c r="T238" s="422"/>
      <c r="U238" s="422"/>
      <c r="V238" s="422"/>
    </row>
    <row r="239" spans="2:22" s="332" customFormat="1" ht="31.5">
      <c r="B239" s="445"/>
      <c r="C239" s="15" t="s">
        <v>1113</v>
      </c>
      <c r="D239" s="110"/>
      <c r="E239" s="181">
        <f>E237*E238</f>
        <v>382.20609999999999</v>
      </c>
      <c r="F239" s="181">
        <f>F237*F238+0.07</f>
        <v>791.04380000000003</v>
      </c>
      <c r="G239" s="181">
        <f t="shared" ref="G239:V239" si="57">G237*G238</f>
        <v>400.22001499999999</v>
      </c>
      <c r="H239" s="181">
        <f t="shared" si="57"/>
        <v>206.94800000000001</v>
      </c>
      <c r="I239" s="181">
        <f t="shared" si="57"/>
        <v>446.685</v>
      </c>
      <c r="J239" s="181">
        <f t="shared" si="57"/>
        <v>303.73282800000004</v>
      </c>
      <c r="K239" s="181">
        <f t="shared" si="57"/>
        <v>0</v>
      </c>
      <c r="L239" s="181">
        <f t="shared" si="57"/>
        <v>0</v>
      </c>
      <c r="M239" s="181">
        <f t="shared" si="57"/>
        <v>0</v>
      </c>
      <c r="N239" s="181">
        <f t="shared" si="57"/>
        <v>0</v>
      </c>
      <c r="O239" s="181">
        <f t="shared" si="57"/>
        <v>0</v>
      </c>
      <c r="P239" s="181">
        <f t="shared" si="57"/>
        <v>0</v>
      </c>
      <c r="Q239" s="181">
        <f t="shared" si="57"/>
        <v>0</v>
      </c>
      <c r="R239" s="181">
        <f t="shared" si="57"/>
        <v>0</v>
      </c>
      <c r="S239" s="181">
        <f t="shared" si="57"/>
        <v>0</v>
      </c>
      <c r="T239" s="181">
        <f t="shared" si="57"/>
        <v>0</v>
      </c>
      <c r="U239" s="181">
        <f t="shared" si="57"/>
        <v>0</v>
      </c>
      <c r="V239" s="181">
        <f t="shared" si="57"/>
        <v>0</v>
      </c>
    </row>
    <row r="240" spans="2:22" s="332" customFormat="1">
      <c r="B240" s="445"/>
      <c r="C240" s="15"/>
      <c r="D240" s="1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</row>
    <row r="241" spans="2:22" s="332" customFormat="1">
      <c r="B241" s="445"/>
      <c r="C241" s="15"/>
      <c r="D241" s="1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</row>
    <row r="242" spans="2:22" s="332" customFormat="1">
      <c r="B242" s="445"/>
      <c r="C242" s="15"/>
      <c r="D242" s="1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</row>
    <row r="243" spans="2:22" s="332" customFormat="1" ht="21">
      <c r="B243" s="444">
        <v>9</v>
      </c>
      <c r="C243" s="15" t="s">
        <v>1114</v>
      </c>
      <c r="D243" s="416" t="s">
        <v>22</v>
      </c>
      <c r="E243" s="297">
        <f>E231+E235+E239</f>
        <v>995.40609999999992</v>
      </c>
      <c r="F243" s="297">
        <f t="shared" ref="F243:V243" si="58">F231+F235+F239</f>
        <v>1500.7988700000001</v>
      </c>
      <c r="G243" s="297">
        <f t="shared" si="58"/>
        <v>1097.3150149999999</v>
      </c>
      <c r="H243" s="297">
        <f t="shared" si="58"/>
        <v>897.99800000000005</v>
      </c>
      <c r="I243" s="297">
        <f t="shared" si="58"/>
        <v>1205.835</v>
      </c>
      <c r="J243" s="297">
        <f t="shared" si="58"/>
        <v>1043.273678</v>
      </c>
      <c r="K243" s="297">
        <f t="shared" si="58"/>
        <v>0</v>
      </c>
      <c r="L243" s="297">
        <f t="shared" si="58"/>
        <v>0</v>
      </c>
      <c r="M243" s="297">
        <f t="shared" si="58"/>
        <v>0</v>
      </c>
      <c r="N243" s="297">
        <f t="shared" si="58"/>
        <v>0</v>
      </c>
      <c r="O243" s="297">
        <f t="shared" si="58"/>
        <v>0</v>
      </c>
      <c r="P243" s="297">
        <f t="shared" si="58"/>
        <v>0</v>
      </c>
      <c r="Q243" s="297">
        <f t="shared" si="58"/>
        <v>0</v>
      </c>
      <c r="R243" s="297">
        <f t="shared" si="58"/>
        <v>0</v>
      </c>
      <c r="S243" s="297">
        <f t="shared" si="58"/>
        <v>0</v>
      </c>
      <c r="T243" s="297">
        <f t="shared" si="58"/>
        <v>0</v>
      </c>
      <c r="U243" s="297">
        <f t="shared" si="58"/>
        <v>0</v>
      </c>
      <c r="V243" s="297">
        <f t="shared" si="58"/>
        <v>0</v>
      </c>
    </row>
    <row r="244" spans="2:22" s="332" customFormat="1" ht="21">
      <c r="B244" s="444">
        <v>10</v>
      </c>
      <c r="C244" s="15" t="s">
        <v>1115</v>
      </c>
      <c r="D244" s="416"/>
      <c r="E244" s="297">
        <f>E226+E243</f>
        <v>8804.2909</v>
      </c>
      <c r="F244" s="297">
        <f t="shared" ref="F244:V244" si="59">F226+F243</f>
        <v>2291.9010699999999</v>
      </c>
      <c r="G244" s="297">
        <f t="shared" si="59"/>
        <v>9447.259184999999</v>
      </c>
      <c r="H244" s="297">
        <f t="shared" si="59"/>
        <v>1074.6621</v>
      </c>
      <c r="I244" s="297">
        <f t="shared" si="59"/>
        <v>9792.2078391735486</v>
      </c>
      <c r="J244" s="297">
        <f t="shared" si="59"/>
        <v>1068.5855980000001</v>
      </c>
      <c r="K244" s="297">
        <v>1738.77</v>
      </c>
      <c r="L244" s="297">
        <f t="shared" si="59"/>
        <v>965.64105999999992</v>
      </c>
      <c r="M244" s="297">
        <f t="shared" si="59"/>
        <v>1004.2667024</v>
      </c>
      <c r="N244" s="297">
        <f t="shared" si="59"/>
        <v>0</v>
      </c>
      <c r="O244" s="297">
        <f t="shared" si="59"/>
        <v>1044.4373704959999</v>
      </c>
      <c r="P244" s="297">
        <f t="shared" si="59"/>
        <v>0</v>
      </c>
      <c r="Q244" s="297">
        <f t="shared" si="59"/>
        <v>1086.2148653158399</v>
      </c>
      <c r="R244" s="297">
        <f t="shared" si="59"/>
        <v>0</v>
      </c>
      <c r="S244" s="297">
        <f t="shared" si="59"/>
        <v>1129.6634599284735</v>
      </c>
      <c r="T244" s="297">
        <f t="shared" si="59"/>
        <v>0</v>
      </c>
      <c r="U244" s="297">
        <f t="shared" si="59"/>
        <v>1174.8499983256124</v>
      </c>
      <c r="V244" s="297">
        <f t="shared" si="59"/>
        <v>0</v>
      </c>
    </row>
    <row r="245" spans="2:22" s="332" customFormat="1" ht="21">
      <c r="B245" s="444">
        <v>11</v>
      </c>
      <c r="C245" s="15" t="s">
        <v>1116</v>
      </c>
      <c r="D245" s="416"/>
      <c r="E245" s="480">
        <v>50000</v>
      </c>
      <c r="F245" s="480">
        <f>SUM(F246:F251)</f>
        <v>10708.74</v>
      </c>
      <c r="G245" s="480">
        <v>107552.64</v>
      </c>
      <c r="H245" s="480">
        <f>SUM(H246:H253)</f>
        <v>149868.37</v>
      </c>
      <c r="I245" s="480">
        <v>81706.25</v>
      </c>
      <c r="J245" s="15"/>
      <c r="K245" s="15">
        <v>113685.1</v>
      </c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2:22" s="332" customFormat="1">
      <c r="B246" s="444"/>
      <c r="C246" s="15" t="s">
        <v>1117</v>
      </c>
      <c r="D246" s="15"/>
      <c r="E246" s="480"/>
      <c r="F246" s="480">
        <v>1420.75</v>
      </c>
      <c r="G246" s="15"/>
      <c r="H246" s="480">
        <v>11062.33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2:22" s="332" customFormat="1">
      <c r="B247" s="444"/>
      <c r="C247" s="15" t="s">
        <v>1118</v>
      </c>
      <c r="D247" s="15"/>
      <c r="E247" s="480"/>
      <c r="F247" s="480">
        <v>429.07</v>
      </c>
      <c r="G247" s="15"/>
      <c r="H247" s="480">
        <v>3365.6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2:22" s="332" customFormat="1">
      <c r="B248" s="444"/>
      <c r="C248" s="15" t="s">
        <v>1119</v>
      </c>
      <c r="D248" s="15"/>
      <c r="E248" s="480"/>
      <c r="F248" s="480">
        <v>624.65</v>
      </c>
      <c r="G248" s="15"/>
      <c r="H248" s="480">
        <v>20800.13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2:22" s="332" customFormat="1">
      <c r="B249" s="444"/>
      <c r="C249" s="15" t="s">
        <v>1120</v>
      </c>
      <c r="D249" s="15"/>
      <c r="E249" s="15"/>
      <c r="F249" s="480">
        <v>8234.27</v>
      </c>
      <c r="G249" s="15"/>
      <c r="H249" s="480">
        <f>21612.92+6978.2</f>
        <v>28591.119999999999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2:22" s="332" customFormat="1">
      <c r="B250" s="444"/>
      <c r="C250" s="15" t="s">
        <v>1121</v>
      </c>
      <c r="D250" s="15"/>
      <c r="E250" s="15"/>
      <c r="F250" s="480"/>
      <c r="G250" s="15"/>
      <c r="H250" s="480">
        <v>13322.32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2:22" s="332" customFormat="1">
      <c r="B251" s="444"/>
      <c r="C251" s="15" t="s">
        <v>1122</v>
      </c>
      <c r="D251" s="15"/>
      <c r="E251" s="15"/>
      <c r="F251" s="480"/>
      <c r="G251" s="15"/>
      <c r="H251" s="480">
        <v>36326.94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2:22" s="332" customFormat="1">
      <c r="B252" s="444"/>
      <c r="C252" s="15" t="s">
        <v>1123</v>
      </c>
      <c r="D252" s="15"/>
      <c r="E252" s="15"/>
      <c r="F252" s="480"/>
      <c r="G252" s="15"/>
      <c r="H252" s="480">
        <v>27671.93</v>
      </c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2:22" s="332" customFormat="1">
      <c r="B253" s="444"/>
      <c r="C253" s="15" t="s">
        <v>1124</v>
      </c>
      <c r="D253" s="15"/>
      <c r="E253" s="15"/>
      <c r="F253" s="480"/>
      <c r="G253" s="15"/>
      <c r="H253" s="480">
        <f>6707.17+2020.83</f>
        <v>8728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2:22" s="332" customFormat="1">
      <c r="B254" s="444"/>
      <c r="C254" s="15"/>
      <c r="D254" s="15"/>
      <c r="E254" s="15"/>
      <c r="F254" s="480"/>
      <c r="G254" s="15"/>
      <c r="H254" s="480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2:22" s="332" customFormat="1" ht="22.5">
      <c r="B255" s="444"/>
      <c r="C255" s="297" t="s">
        <v>1125</v>
      </c>
      <c r="D255" s="416"/>
      <c r="E255" s="297">
        <f>E243+E245</f>
        <v>50995.4061</v>
      </c>
      <c r="F255" s="297">
        <f>F243+F245</f>
        <v>12209.53887</v>
      </c>
      <c r="G255" s="297">
        <f>G244+G245</f>
        <v>116999.899185</v>
      </c>
      <c r="H255" s="297">
        <f>H244+H245</f>
        <v>150943.03209999998</v>
      </c>
      <c r="I255" s="297">
        <f>I243+I245</f>
        <v>82912.085000000006</v>
      </c>
      <c r="J255" s="297">
        <f>J243+J245+J244</f>
        <v>2111.8592760000001</v>
      </c>
      <c r="K255" s="297">
        <f t="shared" ref="K255:V255" si="60">K243+K245+K244</f>
        <v>115423.87000000001</v>
      </c>
      <c r="L255" s="297">
        <f t="shared" si="60"/>
        <v>965.64105999999992</v>
      </c>
      <c r="M255" s="297">
        <f t="shared" si="60"/>
        <v>1004.2667024</v>
      </c>
      <c r="N255" s="297">
        <f t="shared" si="60"/>
        <v>0</v>
      </c>
      <c r="O255" s="297">
        <f t="shared" si="60"/>
        <v>1044.4373704959999</v>
      </c>
      <c r="P255" s="297">
        <f t="shared" si="60"/>
        <v>0</v>
      </c>
      <c r="Q255" s="297">
        <f t="shared" si="60"/>
        <v>1086.2148653158399</v>
      </c>
      <c r="R255" s="297">
        <f t="shared" si="60"/>
        <v>0</v>
      </c>
      <c r="S255" s="297">
        <f t="shared" si="60"/>
        <v>1129.6634599284735</v>
      </c>
      <c r="T255" s="297">
        <f t="shared" si="60"/>
        <v>0</v>
      </c>
      <c r="U255" s="297">
        <f t="shared" si="60"/>
        <v>1174.8499983256124</v>
      </c>
      <c r="V255" s="297">
        <f t="shared" si="60"/>
        <v>0</v>
      </c>
    </row>
    <row r="256" spans="2:22">
      <c r="I256" s="118"/>
    </row>
    <row r="258" spans="2:22" ht="15.75">
      <c r="B258" s="419" t="s">
        <v>999</v>
      </c>
      <c r="C258" s="419"/>
      <c r="D258" s="419"/>
      <c r="E258" s="419"/>
      <c r="F258" s="419"/>
      <c r="G258" s="419"/>
      <c r="H258" s="419"/>
      <c r="I258" s="419"/>
      <c r="J258" s="419"/>
      <c r="K258" s="419"/>
      <c r="L258" s="419"/>
      <c r="M258" s="447"/>
      <c r="N258" s="447"/>
      <c r="O258" s="447"/>
    </row>
    <row r="260" spans="2:22" ht="15.75">
      <c r="B260" s="419" t="s">
        <v>1000</v>
      </c>
      <c r="C260" s="448"/>
      <c r="D260" s="449"/>
    </row>
    <row r="261" spans="2:22" s="332" customFormat="1" ht="22.5" customHeight="1">
      <c r="B261" s="1597" t="s">
        <v>539</v>
      </c>
      <c r="C261" s="1598" t="s">
        <v>540</v>
      </c>
      <c r="D261" s="1599" t="s">
        <v>541</v>
      </c>
      <c r="E261" s="1596" t="s">
        <v>4</v>
      </c>
      <c r="F261" s="1596"/>
      <c r="G261" s="1596" t="s">
        <v>5</v>
      </c>
      <c r="H261" s="1596"/>
      <c r="I261" s="1596" t="s">
        <v>6</v>
      </c>
      <c r="J261" s="1596"/>
      <c r="K261" s="1596" t="s">
        <v>7</v>
      </c>
      <c r="L261" s="1596"/>
      <c r="M261" s="1596" t="s">
        <v>8</v>
      </c>
      <c r="N261" s="1596"/>
      <c r="O261" s="1596" t="s">
        <v>9</v>
      </c>
      <c r="P261" s="1596"/>
      <c r="Q261" s="1596" t="s">
        <v>10</v>
      </c>
      <c r="R261" s="1596"/>
      <c r="S261" s="1596" t="s">
        <v>11</v>
      </c>
      <c r="T261" s="1596"/>
      <c r="U261" s="1596" t="s">
        <v>12</v>
      </c>
      <c r="V261" s="1596"/>
    </row>
    <row r="262" spans="2:22" s="332" customFormat="1" ht="37.35" customHeight="1">
      <c r="B262" s="1597"/>
      <c r="C262" s="1598"/>
      <c r="D262" s="1599"/>
      <c r="E262" s="149" t="s">
        <v>13</v>
      </c>
      <c r="F262" s="150" t="s">
        <v>14</v>
      </c>
      <c r="G262" s="149" t="s">
        <v>13</v>
      </c>
      <c r="H262" s="150" t="s">
        <v>14</v>
      </c>
      <c r="I262" s="149" t="s">
        <v>13</v>
      </c>
      <c r="J262" s="150" t="s">
        <v>14</v>
      </c>
      <c r="K262" s="149" t="s">
        <v>13</v>
      </c>
      <c r="L262" s="150" t="s">
        <v>14</v>
      </c>
      <c r="M262" s="149" t="s">
        <v>16</v>
      </c>
      <c r="N262" s="150" t="s">
        <v>17</v>
      </c>
      <c r="O262" s="149" t="s">
        <v>16</v>
      </c>
      <c r="P262" s="150" t="s">
        <v>17</v>
      </c>
      <c r="Q262" s="149" t="s">
        <v>16</v>
      </c>
      <c r="R262" s="150" t="s">
        <v>17</v>
      </c>
      <c r="S262" s="149" t="s">
        <v>16</v>
      </c>
      <c r="T262" s="150" t="s">
        <v>17</v>
      </c>
      <c r="U262" s="149" t="s">
        <v>16</v>
      </c>
      <c r="V262" s="150" t="s">
        <v>17</v>
      </c>
    </row>
    <row r="263" spans="2:22" s="332" customFormat="1">
      <c r="B263" s="155">
        <v>1</v>
      </c>
      <c r="C263" s="155">
        <v>2</v>
      </c>
      <c r="D263" s="155">
        <v>3</v>
      </c>
      <c r="E263" s="155">
        <v>4</v>
      </c>
      <c r="F263" s="155">
        <v>5</v>
      </c>
      <c r="G263" s="155">
        <v>6</v>
      </c>
      <c r="H263" s="155">
        <v>7</v>
      </c>
      <c r="I263" s="155">
        <v>8</v>
      </c>
      <c r="J263" s="155">
        <v>9</v>
      </c>
      <c r="K263" s="155">
        <v>10</v>
      </c>
      <c r="L263" s="155">
        <v>11</v>
      </c>
      <c r="M263" s="155">
        <v>12</v>
      </c>
      <c r="N263" s="155">
        <v>13</v>
      </c>
      <c r="O263" s="155">
        <v>14</v>
      </c>
      <c r="P263" s="155">
        <v>15</v>
      </c>
      <c r="Q263" s="155">
        <v>16</v>
      </c>
      <c r="R263" s="155">
        <v>17</v>
      </c>
      <c r="S263" s="155">
        <v>18</v>
      </c>
      <c r="T263" s="155">
        <v>19</v>
      </c>
      <c r="U263" s="155">
        <v>20</v>
      </c>
      <c r="V263" s="155">
        <v>21</v>
      </c>
    </row>
    <row r="264" spans="2:22" ht="24.75">
      <c r="B264" s="340">
        <v>1</v>
      </c>
      <c r="C264" s="282" t="s">
        <v>1402</v>
      </c>
      <c r="D264" s="16" t="s">
        <v>22</v>
      </c>
      <c r="E264" s="167">
        <v>2023.29</v>
      </c>
      <c r="F264" s="167">
        <v>8739.4</v>
      </c>
      <c r="G264" s="167">
        <v>5121.07</v>
      </c>
      <c r="H264" s="167"/>
      <c r="I264" s="167"/>
      <c r="J264" s="167"/>
      <c r="K264" s="167"/>
      <c r="L264" s="167">
        <f>481.89*0.33488</f>
        <v>161.3753232</v>
      </c>
      <c r="M264" s="167">
        <f>8517*0.343*1.129</f>
        <v>3298.182699</v>
      </c>
      <c r="N264" s="167"/>
      <c r="O264" s="167">
        <f>9872*0.3435*1.14209</f>
        <v>3872.8637368800005</v>
      </c>
      <c r="P264" s="167"/>
      <c r="Q264" s="167">
        <f>9845*0.3426*1.293500807</f>
        <v>4362.844991427879</v>
      </c>
      <c r="R264" s="167"/>
      <c r="S264" s="167">
        <f>9845*0.344</f>
        <v>3386.68</v>
      </c>
      <c r="T264" s="167"/>
      <c r="U264" s="167">
        <f>9845*0.3435</f>
        <v>3381.7575000000002</v>
      </c>
      <c r="V264" s="167"/>
    </row>
    <row r="265" spans="2:22" ht="16.5">
      <c r="B265" s="340">
        <v>2</v>
      </c>
      <c r="C265" s="282" t="s">
        <v>1281</v>
      </c>
      <c r="D265" s="16" t="s">
        <v>22</v>
      </c>
      <c r="E265" s="167">
        <v>784.28</v>
      </c>
      <c r="F265" s="167">
        <v>590.41999999999996</v>
      </c>
      <c r="G265" s="167"/>
      <c r="H265" s="167">
        <v>1609.89</v>
      </c>
      <c r="I265" s="167"/>
      <c r="J265" s="167"/>
      <c r="K265" s="167"/>
      <c r="L265" s="167">
        <f>6885.8*0.3488</f>
        <v>2401.7670400000002</v>
      </c>
      <c r="M265" s="167">
        <f>36407*0.344*1.129</f>
        <v>14139.605031999999</v>
      </c>
      <c r="N265" s="167"/>
      <c r="O265" s="167">
        <f>29806*0.343*1.1421+1.1</f>
        <v>11677.3113818</v>
      </c>
      <c r="P265" s="167"/>
      <c r="Q265" s="167">
        <f>22295*0.343*1.29350807</f>
        <v>9891.6955102829506</v>
      </c>
      <c r="R265" s="167"/>
      <c r="S265" s="167">
        <f>14875*0.342</f>
        <v>5087.25</v>
      </c>
      <c r="T265" s="167"/>
      <c r="U265" s="167">
        <f>7455*0.342</f>
        <v>2549.61</v>
      </c>
      <c r="V265" s="167"/>
    </row>
    <row r="266" spans="2:22" ht="24.75">
      <c r="B266" s="340">
        <v>3</v>
      </c>
      <c r="C266" s="282" t="s">
        <v>1282</v>
      </c>
      <c r="D266" s="16" t="s">
        <v>22</v>
      </c>
      <c r="E266" s="167">
        <v>7372.8</v>
      </c>
      <c r="F266" s="167">
        <v>7010.14</v>
      </c>
      <c r="G266" s="167">
        <v>10593.68</v>
      </c>
      <c r="H266" s="167">
        <v>2063.7800000000002</v>
      </c>
      <c r="I266" s="167"/>
      <c r="J266" s="167"/>
      <c r="K266" s="167"/>
      <c r="L266" s="167">
        <f>1532.61*0.3473</f>
        <v>532.27545299999997</v>
      </c>
      <c r="M266" s="167">
        <f>6792*0.33*1.129+0.44</f>
        <v>2530.9354400000002</v>
      </c>
      <c r="N266" s="167"/>
      <c r="O266" s="167">
        <f>6810*0.341*1.142095</f>
        <v>2652.1844299500003</v>
      </c>
      <c r="P266" s="167"/>
      <c r="Q266" s="167">
        <f>2804*0.344*1.293500807+0.26</f>
        <v>1247.9398344128319</v>
      </c>
      <c r="R266" s="167"/>
      <c r="S266" s="167"/>
      <c r="T266" s="167"/>
      <c r="U266" s="167"/>
      <c r="V266" s="167"/>
    </row>
    <row r="267" spans="2:22">
      <c r="B267" s="481">
        <v>4</v>
      </c>
      <c r="C267" s="282" t="s">
        <v>1002</v>
      </c>
      <c r="D267" s="16" t="s">
        <v>22</v>
      </c>
      <c r="E267" s="167"/>
      <c r="F267" s="167"/>
      <c r="G267" s="167"/>
      <c r="H267" s="167">
        <v>495.38</v>
      </c>
      <c r="I267" s="167">
        <v>495.38</v>
      </c>
      <c r="J267" s="167">
        <f>'[7]проценты по кредитам'!F16*'[7]проценты по кредитам'!C38/1000</f>
        <v>9730.849857600002</v>
      </c>
      <c r="K267" s="167">
        <v>3971.97</v>
      </c>
      <c r="L267" s="167">
        <f>19516*0.348</f>
        <v>6791.5679999999993</v>
      </c>
      <c r="M267" s="167"/>
      <c r="N267" s="167"/>
      <c r="O267" s="167"/>
      <c r="P267" s="167"/>
      <c r="Q267" s="167"/>
      <c r="R267" s="167"/>
      <c r="S267" s="167"/>
      <c r="T267" s="167"/>
      <c r="U267" s="167">
        <f>S267</f>
        <v>0</v>
      </c>
      <c r="V267" s="167"/>
    </row>
    <row r="268" spans="2:22">
      <c r="B268" s="481">
        <v>5</v>
      </c>
      <c r="C268" s="282" t="s">
        <v>1003</v>
      </c>
      <c r="D268" s="16" t="s">
        <v>22</v>
      </c>
      <c r="E268" s="167"/>
      <c r="F268" s="167"/>
      <c r="G268" s="167"/>
      <c r="H268" s="167">
        <v>7116.42</v>
      </c>
      <c r="I268" s="167">
        <f>7116+1071.22</f>
        <v>8187.22</v>
      </c>
      <c r="J268" s="167">
        <f>'[7]проценты по кредитам'!F17*'[7]проценты по кредитам'!C38/1000</f>
        <v>7134.8694747999998</v>
      </c>
      <c r="K268" s="167">
        <v>10160.049999999999</v>
      </c>
      <c r="L268" s="167">
        <f>10594.4*0.348</f>
        <v>3686.8511999999996</v>
      </c>
      <c r="M268" s="56"/>
      <c r="N268" s="56">
        <v>5135.5869296296123</v>
      </c>
      <c r="O268" s="167"/>
      <c r="P268" s="167"/>
      <c r="Q268" s="167"/>
      <c r="R268" s="167"/>
      <c r="S268" s="167"/>
      <c r="T268" s="167"/>
      <c r="U268" s="167"/>
      <c r="V268" s="167"/>
    </row>
    <row r="269" spans="2:22">
      <c r="B269" s="481">
        <v>6</v>
      </c>
      <c r="C269" s="282" t="s">
        <v>1004</v>
      </c>
      <c r="D269" s="16" t="s">
        <v>22</v>
      </c>
      <c r="E269" s="167"/>
      <c r="F269" s="167"/>
      <c r="G269" s="167"/>
      <c r="H269" s="167">
        <v>8508.18</v>
      </c>
      <c r="I269" s="167">
        <f>8508.18+421.02</f>
        <v>8929.2000000000007</v>
      </c>
      <c r="J269" s="167">
        <f>'[7]проценты по кредитам'!F15*'[7]проценты по кредитам'!C38/1000</f>
        <v>3833.3601648000003</v>
      </c>
      <c r="K269" s="167">
        <v>4112.21</v>
      </c>
      <c r="L269" s="167">
        <f>7678.45*0.3488</f>
        <v>2678.2433599999999</v>
      </c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</row>
    <row r="270" spans="2:22" ht="16.5">
      <c r="B270" s="481">
        <v>7</v>
      </c>
      <c r="C270" s="282" t="s">
        <v>1126</v>
      </c>
      <c r="D270" s="16" t="s">
        <v>22</v>
      </c>
      <c r="E270" s="167"/>
      <c r="F270" s="167"/>
      <c r="G270" s="167"/>
      <c r="H270" s="167">
        <v>8509.18</v>
      </c>
      <c r="I270" s="167">
        <f>8508.18+421.02</f>
        <v>8929.2000000000007</v>
      </c>
      <c r="J270" s="167">
        <f>'[7]проценты по кредитам'!F14*'[7]проценты по кредитам'!C38/1000</f>
        <v>2322.6774789999999</v>
      </c>
      <c r="K270" s="167">
        <v>3903.9</v>
      </c>
      <c r="L270" s="167">
        <f>7214.54*0.3488</f>
        <v>2516.431552</v>
      </c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</row>
    <row r="271" spans="2:22" s="332" customFormat="1" ht="25.5">
      <c r="B271" s="444"/>
      <c r="C271" s="295" t="s">
        <v>1006</v>
      </c>
      <c r="D271" s="416" t="s">
        <v>22</v>
      </c>
      <c r="E271" s="297">
        <f t="shared" ref="E271:K271" si="61">SUM(E264:E270)</f>
        <v>10180.369999999999</v>
      </c>
      <c r="F271" s="297">
        <f t="shared" si="61"/>
        <v>16339.96</v>
      </c>
      <c r="G271" s="297">
        <f t="shared" si="61"/>
        <v>15714.75</v>
      </c>
      <c r="H271" s="297">
        <f t="shared" si="61"/>
        <v>28302.83</v>
      </c>
      <c r="I271" s="297">
        <f t="shared" si="61"/>
        <v>26541.000000000004</v>
      </c>
      <c r="J271" s="297">
        <f t="shared" si="61"/>
        <v>23021.756976200006</v>
      </c>
      <c r="K271" s="297">
        <f t="shared" si="61"/>
        <v>22148.13</v>
      </c>
      <c r="L271" s="297">
        <f>SUM(L264:L270)+185.83</f>
        <v>18954.3419282</v>
      </c>
      <c r="M271" s="297">
        <f>SUM(M264:M270)+51.65</f>
        <v>20020.373171000003</v>
      </c>
      <c r="N271" s="297">
        <f>SUM(N264:N270)</f>
        <v>5135.5869296296123</v>
      </c>
      <c r="O271" s="297">
        <f>SUM(O264:O270)+8.71</f>
        <v>18211.069548629999</v>
      </c>
      <c r="P271" s="297">
        <f>SUM(P264:P270)</f>
        <v>0</v>
      </c>
      <c r="Q271" s="297">
        <f>SUM(Q264:Q270)+1.08</f>
        <v>15503.560336123661</v>
      </c>
      <c r="R271" s="297">
        <f>SUM(R264:R270)</f>
        <v>0</v>
      </c>
      <c r="S271" s="297">
        <f>SUM(S264:S270)+4.93</f>
        <v>8478.86</v>
      </c>
      <c r="T271" s="297">
        <f>SUM(T264:T270)</f>
        <v>0</v>
      </c>
      <c r="U271" s="297">
        <f>SUM(U264:U270)+2.43</f>
        <v>5933.7975000000006</v>
      </c>
      <c r="V271" s="297">
        <f>SUM(V264:V270)</f>
        <v>0</v>
      </c>
    </row>
    <row r="272" spans="2:22">
      <c r="B272" s="450"/>
      <c r="C272" s="330"/>
      <c r="D272" s="451"/>
      <c r="E272" s="331"/>
      <c r="F272" s="331"/>
      <c r="G272" s="331"/>
      <c r="H272" s="331"/>
      <c r="I272" s="331"/>
      <c r="J272" s="331"/>
      <c r="K272" s="331"/>
      <c r="L272" s="331"/>
      <c r="M272" s="118"/>
      <c r="O272" s="1124"/>
      <c r="P272" s="1125"/>
    </row>
    <row r="273" spans="2:22">
      <c r="B273" s="452" t="s">
        <v>1007</v>
      </c>
      <c r="C273" s="453"/>
      <c r="D273" s="454"/>
      <c r="E273" s="455"/>
      <c r="F273" s="331"/>
      <c r="G273" s="331"/>
      <c r="H273" s="331"/>
      <c r="I273" s="331"/>
      <c r="J273" s="331"/>
      <c r="K273" s="331"/>
      <c r="L273" s="331"/>
    </row>
    <row r="274" spans="2:22">
      <c r="B274" s="456"/>
      <c r="C274" s="453"/>
      <c r="D274" s="454"/>
      <c r="E274" s="455"/>
      <c r="F274" s="331"/>
      <c r="G274" s="331"/>
      <c r="H274" s="331"/>
      <c r="I274" s="331"/>
      <c r="J274" s="331"/>
      <c r="K274" s="331"/>
      <c r="L274" s="331"/>
    </row>
    <row r="275" spans="2:22" ht="19.5" customHeight="1">
      <c r="B275" s="419" t="s">
        <v>1008</v>
      </c>
      <c r="C275" s="448"/>
      <c r="D275" s="449"/>
      <c r="E275" s="331"/>
      <c r="F275" s="331"/>
      <c r="G275" s="331"/>
      <c r="H275" s="331"/>
      <c r="I275" s="331">
        <v>1.0296000000000001</v>
      </c>
      <c r="J275" s="331"/>
      <c r="K275" s="331">
        <v>1.026629</v>
      </c>
      <c r="L275" s="331"/>
      <c r="M275" s="1">
        <v>1.04</v>
      </c>
      <c r="O275" s="1">
        <v>1.04</v>
      </c>
      <c r="Q275" s="1">
        <v>1.04</v>
      </c>
      <c r="S275" s="1">
        <v>1.04</v>
      </c>
      <c r="U275" s="1">
        <v>1.04</v>
      </c>
    </row>
    <row r="276" spans="2:22" s="332" customFormat="1" ht="18.75" customHeight="1">
      <c r="B276" s="1597" t="s">
        <v>539</v>
      </c>
      <c r="C276" s="1598" t="s">
        <v>540</v>
      </c>
      <c r="D276" s="1599" t="s">
        <v>541</v>
      </c>
      <c r="E276" s="1596" t="s">
        <v>4</v>
      </c>
      <c r="F276" s="1596"/>
      <c r="G276" s="1596" t="s">
        <v>5</v>
      </c>
      <c r="H276" s="1596"/>
      <c r="I276" s="1596" t="s">
        <v>6</v>
      </c>
      <c r="J276" s="1596"/>
      <c r="K276" s="1596" t="s">
        <v>7</v>
      </c>
      <c r="L276" s="1596"/>
      <c r="M276" s="1596" t="s">
        <v>8</v>
      </c>
      <c r="N276" s="1596"/>
      <c r="O276" s="1596" t="s">
        <v>9</v>
      </c>
      <c r="P276" s="1596"/>
      <c r="Q276" s="1596" t="s">
        <v>10</v>
      </c>
      <c r="R276" s="1596"/>
      <c r="S276" s="1596" t="s">
        <v>11</v>
      </c>
      <c r="T276" s="1596"/>
      <c r="U276" s="1596" t="s">
        <v>12</v>
      </c>
      <c r="V276" s="1596"/>
    </row>
    <row r="277" spans="2:22" s="332" customFormat="1" ht="37.35" customHeight="1">
      <c r="B277" s="1597"/>
      <c r="C277" s="1598"/>
      <c r="D277" s="1599"/>
      <c r="E277" s="149" t="s">
        <v>13</v>
      </c>
      <c r="F277" s="150" t="s">
        <v>14</v>
      </c>
      <c r="G277" s="149" t="s">
        <v>13</v>
      </c>
      <c r="H277" s="150" t="s">
        <v>14</v>
      </c>
      <c r="I277" s="149" t="s">
        <v>13</v>
      </c>
      <c r="J277" s="150" t="s">
        <v>14</v>
      </c>
      <c r="K277" s="149" t="s">
        <v>13</v>
      </c>
      <c r="L277" s="150" t="s">
        <v>14</v>
      </c>
      <c r="M277" s="149" t="s">
        <v>1361</v>
      </c>
      <c r="N277" s="150" t="s">
        <v>17</v>
      </c>
      <c r="O277" s="149" t="s">
        <v>16</v>
      </c>
      <c r="P277" s="150" t="s">
        <v>17</v>
      </c>
      <c r="Q277" s="149" t="s">
        <v>16</v>
      </c>
      <c r="R277" s="150" t="s">
        <v>17</v>
      </c>
      <c r="S277" s="149" t="s">
        <v>16</v>
      </c>
      <c r="T277" s="150" t="s">
        <v>17</v>
      </c>
      <c r="U277" s="149" t="s">
        <v>16</v>
      </c>
      <c r="V277" s="150" t="s">
        <v>17</v>
      </c>
    </row>
    <row r="278" spans="2:22" s="332" customFormat="1">
      <c r="B278" s="155">
        <v>1</v>
      </c>
      <c r="C278" s="155">
        <v>2</v>
      </c>
      <c r="D278" s="155">
        <v>3</v>
      </c>
      <c r="E278" s="155">
        <v>4</v>
      </c>
      <c r="F278" s="155">
        <v>5</v>
      </c>
      <c r="G278" s="155">
        <v>6</v>
      </c>
      <c r="H278" s="155">
        <v>7</v>
      </c>
      <c r="I278" s="155">
        <v>8</v>
      </c>
      <c r="J278" s="155">
        <v>9</v>
      </c>
      <c r="K278" s="155">
        <v>10</v>
      </c>
      <c r="L278" s="155">
        <v>11</v>
      </c>
      <c r="M278" s="155">
        <v>12</v>
      </c>
      <c r="N278" s="155">
        <v>13</v>
      </c>
      <c r="O278" s="155">
        <v>14</v>
      </c>
      <c r="P278" s="155">
        <v>15</v>
      </c>
      <c r="Q278" s="155">
        <v>16</v>
      </c>
      <c r="R278" s="155">
        <v>17</v>
      </c>
      <c r="S278" s="155">
        <v>18</v>
      </c>
      <c r="T278" s="155">
        <v>19</v>
      </c>
      <c r="U278" s="155">
        <v>20</v>
      </c>
      <c r="V278" s="155">
        <v>21</v>
      </c>
    </row>
    <row r="279" spans="2:22" ht="21">
      <c r="B279" s="333">
        <v>1</v>
      </c>
      <c r="C279" s="164" t="s">
        <v>525</v>
      </c>
      <c r="D279" s="16" t="s">
        <v>22</v>
      </c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</row>
    <row r="280" spans="2:22" ht="34.5" customHeight="1">
      <c r="B280" s="333">
        <v>2</v>
      </c>
      <c r="C280" s="164" t="s">
        <v>1009</v>
      </c>
      <c r="D280" s="16" t="s">
        <v>22</v>
      </c>
      <c r="E280" s="286">
        <f>E281+E282+E283</f>
        <v>3104</v>
      </c>
      <c r="F280" s="286">
        <f t="shared" ref="F280:V280" si="62">F281+F282+F283</f>
        <v>5200</v>
      </c>
      <c r="G280" s="286">
        <f t="shared" si="62"/>
        <v>0</v>
      </c>
      <c r="H280" s="286">
        <f t="shared" si="62"/>
        <v>0</v>
      </c>
      <c r="I280" s="286">
        <f t="shared" si="62"/>
        <v>0</v>
      </c>
      <c r="J280" s="286">
        <f t="shared" si="62"/>
        <v>0</v>
      </c>
      <c r="K280" s="286">
        <f t="shared" si="62"/>
        <v>0</v>
      </c>
      <c r="L280" s="286">
        <f t="shared" si="62"/>
        <v>0</v>
      </c>
      <c r="M280" s="286">
        <f t="shared" si="62"/>
        <v>0</v>
      </c>
      <c r="N280" s="286">
        <f t="shared" si="62"/>
        <v>0</v>
      </c>
      <c r="O280" s="286">
        <f t="shared" si="62"/>
        <v>0</v>
      </c>
      <c r="P280" s="286">
        <f t="shared" si="62"/>
        <v>0</v>
      </c>
      <c r="Q280" s="286">
        <f t="shared" si="62"/>
        <v>0</v>
      </c>
      <c r="R280" s="286">
        <f t="shared" si="62"/>
        <v>0</v>
      </c>
      <c r="S280" s="286">
        <f t="shared" si="62"/>
        <v>0</v>
      </c>
      <c r="T280" s="286">
        <f t="shared" si="62"/>
        <v>0</v>
      </c>
      <c r="U280" s="286">
        <f t="shared" si="62"/>
        <v>0</v>
      </c>
      <c r="V280" s="286">
        <f t="shared" si="62"/>
        <v>0</v>
      </c>
    </row>
    <row r="281" spans="2:22">
      <c r="B281" s="425" t="s">
        <v>198</v>
      </c>
      <c r="C281" s="32" t="s">
        <v>1127</v>
      </c>
      <c r="D281" s="16" t="s">
        <v>22</v>
      </c>
      <c r="E281" s="167">
        <v>3104</v>
      </c>
      <c r="F281" s="167">
        <v>5200</v>
      </c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</row>
    <row r="282" spans="2:22">
      <c r="B282" s="425" t="s">
        <v>202</v>
      </c>
      <c r="C282" s="32" t="s">
        <v>1010</v>
      </c>
      <c r="D282" s="16" t="s">
        <v>22</v>
      </c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</row>
    <row r="283" spans="2:22">
      <c r="B283" s="425" t="s">
        <v>206</v>
      </c>
      <c r="C283" s="32" t="s">
        <v>1010</v>
      </c>
      <c r="D283" s="16" t="s">
        <v>22</v>
      </c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</row>
    <row r="284" spans="2:22" ht="42">
      <c r="B284" s="333">
        <v>3</v>
      </c>
      <c r="C284" s="164" t="s">
        <v>1297</v>
      </c>
      <c r="D284" s="16" t="s">
        <v>22</v>
      </c>
      <c r="E284" s="286">
        <v>1001</v>
      </c>
      <c r="F284" s="286">
        <v>1070.8</v>
      </c>
      <c r="G284" s="286">
        <v>1505.21</v>
      </c>
      <c r="H284" s="286">
        <v>1646.44</v>
      </c>
      <c r="I284" s="286">
        <f>G284*I275+0.01</f>
        <v>1549.774216</v>
      </c>
      <c r="J284" s="286">
        <f>492.92+155.17+6.9+75.72/2+602.7+83.7</f>
        <v>1379.2500000000002</v>
      </c>
      <c r="K284" s="286">
        <f>I284*K275</f>
        <v>1591.0431535978641</v>
      </c>
      <c r="L284" s="286">
        <v>2290.4299999999998</v>
      </c>
      <c r="M284" s="286">
        <f>'К ВО'!S108</f>
        <v>3193.3960000000002</v>
      </c>
      <c r="N284" s="286"/>
      <c r="O284" s="286">
        <f>M284*O275</f>
        <v>3321.1318400000005</v>
      </c>
      <c r="P284" s="286"/>
      <c r="Q284" s="286">
        <f>O284*Q275</f>
        <v>3453.9771136000004</v>
      </c>
      <c r="R284" s="286"/>
      <c r="S284" s="286">
        <f>Q284*S275</f>
        <v>3592.1361981440004</v>
      </c>
      <c r="T284" s="286"/>
      <c r="U284" s="286">
        <f>S284*U275</f>
        <v>3735.8216460697604</v>
      </c>
      <c r="V284" s="286"/>
    </row>
    <row r="285" spans="2:22" ht="21">
      <c r="B285" s="333">
        <v>4</v>
      </c>
      <c r="C285" s="164" t="s">
        <v>181</v>
      </c>
      <c r="D285" s="16" t="s">
        <v>22</v>
      </c>
      <c r="E285" s="286">
        <f>(E286+E289+E292)+E295</f>
        <v>0</v>
      </c>
      <c r="F285" s="286">
        <f t="shared" ref="F285:V285" si="63">(F286+F289+F292)+F295</f>
        <v>0</v>
      </c>
      <c r="G285" s="286">
        <f t="shared" si="63"/>
        <v>0</v>
      </c>
      <c r="H285" s="286">
        <f t="shared" si="63"/>
        <v>0</v>
      </c>
      <c r="I285" s="286">
        <f t="shared" si="63"/>
        <v>0</v>
      </c>
      <c r="J285" s="286">
        <f t="shared" si="63"/>
        <v>0</v>
      </c>
      <c r="K285" s="286">
        <f t="shared" si="63"/>
        <v>0</v>
      </c>
      <c r="L285" s="286">
        <v>0</v>
      </c>
      <c r="M285" s="286">
        <f t="shared" si="63"/>
        <v>0</v>
      </c>
      <c r="N285" s="286">
        <f t="shared" si="63"/>
        <v>0</v>
      </c>
      <c r="O285" s="286">
        <f t="shared" si="63"/>
        <v>0</v>
      </c>
      <c r="P285" s="286">
        <f t="shared" si="63"/>
        <v>0</v>
      </c>
      <c r="Q285" s="286">
        <f t="shared" si="63"/>
        <v>0</v>
      </c>
      <c r="R285" s="286">
        <f t="shared" si="63"/>
        <v>0</v>
      </c>
      <c r="S285" s="286">
        <f t="shared" si="63"/>
        <v>0</v>
      </c>
      <c r="T285" s="286">
        <f t="shared" si="63"/>
        <v>0</v>
      </c>
      <c r="U285" s="286">
        <f t="shared" si="63"/>
        <v>0</v>
      </c>
      <c r="V285" s="286">
        <f t="shared" si="63"/>
        <v>0</v>
      </c>
    </row>
    <row r="286" spans="2:22" ht="21" hidden="1">
      <c r="B286" s="425"/>
      <c r="C286" s="164" t="s">
        <v>181</v>
      </c>
      <c r="D286" s="16" t="s">
        <v>22</v>
      </c>
      <c r="E286" s="286">
        <f>(E288*E287*12)/1000</f>
        <v>0</v>
      </c>
      <c r="F286" s="286">
        <f t="shared" ref="F286:V286" si="64">(F288*F287*12)/1000</f>
        <v>0</v>
      </c>
      <c r="G286" s="286">
        <f t="shared" si="64"/>
        <v>0</v>
      </c>
      <c r="H286" s="286">
        <f t="shared" si="64"/>
        <v>0</v>
      </c>
      <c r="I286" s="286">
        <f t="shared" si="64"/>
        <v>0</v>
      </c>
      <c r="J286" s="286">
        <f t="shared" si="64"/>
        <v>0</v>
      </c>
      <c r="K286" s="286">
        <f t="shared" si="64"/>
        <v>0</v>
      </c>
      <c r="L286" s="286">
        <f t="shared" si="64"/>
        <v>0</v>
      </c>
      <c r="M286" s="286">
        <f t="shared" si="64"/>
        <v>0</v>
      </c>
      <c r="N286" s="286">
        <f t="shared" si="64"/>
        <v>0</v>
      </c>
      <c r="O286" s="286">
        <f t="shared" si="64"/>
        <v>0</v>
      </c>
      <c r="P286" s="286">
        <f t="shared" si="64"/>
        <v>0</v>
      </c>
      <c r="Q286" s="286">
        <f t="shared" si="64"/>
        <v>0</v>
      </c>
      <c r="R286" s="286">
        <f t="shared" si="64"/>
        <v>0</v>
      </c>
      <c r="S286" s="286">
        <f t="shared" si="64"/>
        <v>0</v>
      </c>
      <c r="T286" s="286">
        <f t="shared" si="64"/>
        <v>0</v>
      </c>
      <c r="U286" s="286">
        <f t="shared" si="64"/>
        <v>0</v>
      </c>
      <c r="V286" s="286">
        <f t="shared" si="64"/>
        <v>0</v>
      </c>
    </row>
    <row r="287" spans="2:22" ht="21" hidden="1">
      <c r="B287" s="425" t="s">
        <v>286</v>
      </c>
      <c r="C287" s="164" t="s">
        <v>181</v>
      </c>
      <c r="D287" s="16" t="s">
        <v>22</v>
      </c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</row>
    <row r="288" spans="2:22" ht="17.25" hidden="1" customHeight="1">
      <c r="B288" s="425" t="s">
        <v>1014</v>
      </c>
      <c r="C288" s="164" t="s">
        <v>181</v>
      </c>
      <c r="D288" s="16" t="s">
        <v>22</v>
      </c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</row>
    <row r="289" spans="2:22" ht="21" hidden="1">
      <c r="B289" s="428"/>
      <c r="C289" s="164" t="s">
        <v>181</v>
      </c>
      <c r="D289" s="16" t="s">
        <v>22</v>
      </c>
      <c r="E289" s="286">
        <f t="shared" ref="E289:V289" si="65">(E291*E290*12)/1000</f>
        <v>0</v>
      </c>
      <c r="F289" s="286">
        <f t="shared" si="65"/>
        <v>0</v>
      </c>
      <c r="G289" s="286">
        <f t="shared" si="65"/>
        <v>0</v>
      </c>
      <c r="H289" s="286">
        <f t="shared" si="65"/>
        <v>0</v>
      </c>
      <c r="I289" s="286">
        <f t="shared" si="65"/>
        <v>0</v>
      </c>
      <c r="J289" s="286">
        <f t="shared" si="65"/>
        <v>0</v>
      </c>
      <c r="K289" s="286">
        <f t="shared" si="65"/>
        <v>0</v>
      </c>
      <c r="L289" s="286">
        <f t="shared" si="65"/>
        <v>0</v>
      </c>
      <c r="M289" s="286">
        <f t="shared" si="65"/>
        <v>0</v>
      </c>
      <c r="N289" s="286">
        <f t="shared" si="65"/>
        <v>0</v>
      </c>
      <c r="O289" s="286">
        <f t="shared" si="65"/>
        <v>0</v>
      </c>
      <c r="P289" s="286">
        <f t="shared" si="65"/>
        <v>0</v>
      </c>
      <c r="Q289" s="286">
        <f t="shared" si="65"/>
        <v>0</v>
      </c>
      <c r="R289" s="286">
        <f t="shared" si="65"/>
        <v>0</v>
      </c>
      <c r="S289" s="286">
        <f t="shared" si="65"/>
        <v>0</v>
      </c>
      <c r="T289" s="286">
        <f t="shared" si="65"/>
        <v>0</v>
      </c>
      <c r="U289" s="286">
        <f t="shared" si="65"/>
        <v>0</v>
      </c>
      <c r="V289" s="286">
        <f t="shared" si="65"/>
        <v>0</v>
      </c>
    </row>
    <row r="290" spans="2:22" ht="21" hidden="1">
      <c r="B290" s="457" t="s">
        <v>1016</v>
      </c>
      <c r="C290" s="164" t="s">
        <v>181</v>
      </c>
      <c r="D290" s="16" t="s">
        <v>22</v>
      </c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</row>
    <row r="291" spans="2:22" ht="19.5" hidden="1" customHeight="1">
      <c r="B291" s="457" t="s">
        <v>1017</v>
      </c>
      <c r="C291" s="164" t="s">
        <v>181</v>
      </c>
      <c r="D291" s="16" t="s">
        <v>22</v>
      </c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</row>
    <row r="292" spans="2:22" ht="21" hidden="1">
      <c r="B292" s="457"/>
      <c r="C292" s="164" t="s">
        <v>181</v>
      </c>
      <c r="D292" s="16" t="s">
        <v>22</v>
      </c>
      <c r="E292" s="286">
        <f t="shared" ref="E292:V292" si="66">(E294*E293*12)/1000</f>
        <v>0</v>
      </c>
      <c r="F292" s="286">
        <f t="shared" si="66"/>
        <v>0</v>
      </c>
      <c r="G292" s="286">
        <f t="shared" si="66"/>
        <v>0</v>
      </c>
      <c r="H292" s="286">
        <f t="shared" si="66"/>
        <v>0</v>
      </c>
      <c r="I292" s="286">
        <f t="shared" si="66"/>
        <v>0</v>
      </c>
      <c r="J292" s="286">
        <f t="shared" si="66"/>
        <v>0</v>
      </c>
      <c r="K292" s="286">
        <f t="shared" si="66"/>
        <v>0</v>
      </c>
      <c r="L292" s="286">
        <f t="shared" si="66"/>
        <v>0</v>
      </c>
      <c r="M292" s="286">
        <f t="shared" si="66"/>
        <v>0</v>
      </c>
      <c r="N292" s="286">
        <f t="shared" si="66"/>
        <v>0</v>
      </c>
      <c r="O292" s="286">
        <f t="shared" si="66"/>
        <v>0</v>
      </c>
      <c r="P292" s="286">
        <f t="shared" si="66"/>
        <v>0</v>
      </c>
      <c r="Q292" s="286">
        <f t="shared" si="66"/>
        <v>0</v>
      </c>
      <c r="R292" s="286">
        <f t="shared" si="66"/>
        <v>0</v>
      </c>
      <c r="S292" s="286">
        <f t="shared" si="66"/>
        <v>0</v>
      </c>
      <c r="T292" s="286">
        <f t="shared" si="66"/>
        <v>0</v>
      </c>
      <c r="U292" s="286">
        <f t="shared" si="66"/>
        <v>0</v>
      </c>
      <c r="V292" s="286">
        <f t="shared" si="66"/>
        <v>0</v>
      </c>
    </row>
    <row r="293" spans="2:22" ht="21" hidden="1">
      <c r="B293" s="428" t="s">
        <v>1019</v>
      </c>
      <c r="C293" s="164" t="s">
        <v>181</v>
      </c>
      <c r="D293" s="16" t="s">
        <v>22</v>
      </c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</row>
    <row r="294" spans="2:22" ht="15" hidden="1" customHeight="1">
      <c r="B294" s="428" t="s">
        <v>1020</v>
      </c>
      <c r="C294" s="164" t="s">
        <v>181</v>
      </c>
      <c r="D294" s="16" t="s">
        <v>22</v>
      </c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</row>
    <row r="295" spans="2:22" ht="38.1" hidden="1" customHeight="1">
      <c r="B295" s="428" t="s">
        <v>585</v>
      </c>
      <c r="C295" s="164" t="s">
        <v>181</v>
      </c>
      <c r="D295" s="16" t="s">
        <v>22</v>
      </c>
      <c r="E295" s="286">
        <f>(E286+E289+E292)*E296</f>
        <v>0</v>
      </c>
      <c r="F295" s="286">
        <f t="shared" ref="F295:V295" si="67">(F286+F289+F292)*F296</f>
        <v>0</v>
      </c>
      <c r="G295" s="286">
        <f t="shared" si="67"/>
        <v>0</v>
      </c>
      <c r="H295" s="286">
        <f t="shared" si="67"/>
        <v>0</v>
      </c>
      <c r="I295" s="286">
        <f t="shared" si="67"/>
        <v>0</v>
      </c>
      <c r="J295" s="286">
        <f t="shared" si="67"/>
        <v>0</v>
      </c>
      <c r="K295" s="286">
        <f t="shared" si="67"/>
        <v>0</v>
      </c>
      <c r="L295" s="286">
        <f t="shared" si="67"/>
        <v>0</v>
      </c>
      <c r="M295" s="286">
        <f t="shared" si="67"/>
        <v>0</v>
      </c>
      <c r="N295" s="286">
        <f t="shared" si="67"/>
        <v>0</v>
      </c>
      <c r="O295" s="286">
        <f t="shared" si="67"/>
        <v>0</v>
      </c>
      <c r="P295" s="286">
        <f t="shared" si="67"/>
        <v>0</v>
      </c>
      <c r="Q295" s="286">
        <f t="shared" si="67"/>
        <v>0</v>
      </c>
      <c r="R295" s="286">
        <f t="shared" si="67"/>
        <v>0</v>
      </c>
      <c r="S295" s="286">
        <f t="shared" si="67"/>
        <v>0</v>
      </c>
      <c r="T295" s="286">
        <f t="shared" si="67"/>
        <v>0</v>
      </c>
      <c r="U295" s="286">
        <f t="shared" si="67"/>
        <v>0</v>
      </c>
      <c r="V295" s="286">
        <f t="shared" si="67"/>
        <v>0</v>
      </c>
    </row>
    <row r="296" spans="2:22" ht="15" hidden="1" customHeight="1">
      <c r="B296" s="428" t="s">
        <v>678</v>
      </c>
      <c r="C296" s="164" t="s">
        <v>181</v>
      </c>
      <c r="D296" s="16" t="s">
        <v>22</v>
      </c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</row>
    <row r="297" spans="2:22" ht="24" customHeight="1">
      <c r="B297" s="428" t="s">
        <v>585</v>
      </c>
      <c r="C297" s="164" t="s">
        <v>1298</v>
      </c>
      <c r="D297" s="16" t="s">
        <v>22</v>
      </c>
      <c r="E297" s="286"/>
      <c r="F297" s="286"/>
      <c r="G297" s="286">
        <v>1653.57</v>
      </c>
      <c r="H297" s="286">
        <v>2736.84</v>
      </c>
      <c r="I297" s="286">
        <f>G297*I275-0.01</f>
        <v>1702.505672</v>
      </c>
      <c r="J297" s="286">
        <f>1015.83+566.88/2+496.73+46.9</f>
        <v>1842.9</v>
      </c>
      <c r="K297" s="286">
        <f>I297*K275+0.01</f>
        <v>1747.8516955396881</v>
      </c>
      <c r="L297" s="286">
        <v>3571.02</v>
      </c>
      <c r="M297" s="286">
        <f>'К ВО'!S111</f>
        <v>4221.9170000000004</v>
      </c>
      <c r="N297" s="286"/>
      <c r="O297" s="286">
        <f>M297*O275</f>
        <v>4390.7936800000007</v>
      </c>
      <c r="P297" s="286"/>
      <c r="Q297" s="286">
        <f>O297*Q275</f>
        <v>4566.4254272000007</v>
      </c>
      <c r="R297" s="286"/>
      <c r="S297" s="286">
        <f>Q297*S275</f>
        <v>4749.0824442880012</v>
      </c>
      <c r="T297" s="286"/>
      <c r="U297" s="286">
        <f>S297*U275</f>
        <v>4939.0457420595212</v>
      </c>
      <c r="V297" s="286"/>
    </row>
    <row r="298" spans="2:22" ht="21.75" customHeight="1">
      <c r="B298" s="428" t="s">
        <v>678</v>
      </c>
      <c r="C298" s="164" t="s">
        <v>1128</v>
      </c>
      <c r="D298" s="16"/>
      <c r="E298" s="286"/>
      <c r="F298" s="286"/>
      <c r="G298" s="286"/>
      <c r="H298" s="286"/>
      <c r="I298" s="286"/>
      <c r="J298" s="286">
        <v>9046.4709999999995</v>
      </c>
      <c r="K298" s="286"/>
      <c r="L298" s="286">
        <v>13739.13</v>
      </c>
      <c r="M298" s="286">
        <f>'К ВО'!S112</f>
        <v>14362.45</v>
      </c>
      <c r="N298" s="286"/>
      <c r="O298" s="286">
        <f>M298*O275</f>
        <v>14936.948000000002</v>
      </c>
      <c r="P298" s="286"/>
      <c r="Q298" s="286">
        <f>O298*Q275</f>
        <v>15534.425920000003</v>
      </c>
      <c r="R298" s="286"/>
      <c r="S298" s="286">
        <f>Q298*S275</f>
        <v>16155.802956800004</v>
      </c>
      <c r="T298" s="286"/>
      <c r="U298" s="286">
        <f>S298*U275</f>
        <v>16802.035075072006</v>
      </c>
      <c r="V298" s="286"/>
    </row>
    <row r="299" spans="2:22" ht="21.75" customHeight="1">
      <c r="B299" s="1123" t="s">
        <v>679</v>
      </c>
      <c r="C299" s="164" t="s">
        <v>1403</v>
      </c>
      <c r="D299" s="16"/>
      <c r="E299" s="286"/>
      <c r="F299" s="286"/>
      <c r="G299" s="286"/>
      <c r="H299" s="286"/>
      <c r="I299" s="286"/>
      <c r="J299" s="286"/>
      <c r="K299" s="286"/>
      <c r="L299" s="286"/>
      <c r="M299" s="286">
        <f>'К ВО'!S114</f>
        <v>10894.017</v>
      </c>
      <c r="N299" s="286"/>
      <c r="O299" s="286">
        <f>M299*O275</f>
        <v>11329.777680000001</v>
      </c>
      <c r="P299" s="286"/>
      <c r="Q299" s="286">
        <f>O299*Q275</f>
        <v>11782.968787200001</v>
      </c>
      <c r="R299" s="286"/>
      <c r="S299" s="286">
        <f>Q299*S275</f>
        <v>12254.287538688002</v>
      </c>
      <c r="T299" s="286"/>
      <c r="U299" s="286">
        <f>S299*U275</f>
        <v>12744.459040235522</v>
      </c>
      <c r="V299" s="286"/>
    </row>
    <row r="300" spans="2:22" ht="25.5">
      <c r="B300" s="320">
        <v>8</v>
      </c>
      <c r="C300" s="295" t="s">
        <v>1025</v>
      </c>
      <c r="D300" s="416" t="s">
        <v>22</v>
      </c>
      <c r="E300" s="297">
        <f>E279+E280+E284+E285+E297+E298</f>
        <v>4105</v>
      </c>
      <c r="F300" s="297">
        <f t="shared" ref="F300:V300" si="68">F279+F280+F284+F285+F297+F298</f>
        <v>6270.8</v>
      </c>
      <c r="G300" s="297">
        <f t="shared" si="68"/>
        <v>3158.7799999999997</v>
      </c>
      <c r="H300" s="297">
        <f t="shared" si="68"/>
        <v>4383.2800000000007</v>
      </c>
      <c r="I300" s="297">
        <f t="shared" si="68"/>
        <v>3252.279888</v>
      </c>
      <c r="J300" s="297">
        <f t="shared" si="68"/>
        <v>12268.620999999999</v>
      </c>
      <c r="K300" s="297">
        <f t="shared" si="68"/>
        <v>3338.8948491375522</v>
      </c>
      <c r="L300" s="297">
        <f t="shared" si="68"/>
        <v>19600.579999999998</v>
      </c>
      <c r="M300" s="297">
        <f>M279+M280+M284+M285+M297+M298+M299</f>
        <v>32671.78</v>
      </c>
      <c r="N300" s="297">
        <f t="shared" ref="N300:U300" si="69">N279+N280+N284+N285+N297+N298+N299</f>
        <v>0</v>
      </c>
      <c r="O300" s="297">
        <f t="shared" si="69"/>
        <v>33978.6512</v>
      </c>
      <c r="P300" s="297">
        <f t="shared" si="69"/>
        <v>0</v>
      </c>
      <c r="Q300" s="297">
        <f t="shared" si="69"/>
        <v>35337.797248000003</v>
      </c>
      <c r="R300" s="297">
        <f t="shared" si="69"/>
        <v>0</v>
      </c>
      <c r="S300" s="297">
        <f t="shared" si="69"/>
        <v>36751.309137920012</v>
      </c>
      <c r="T300" s="297">
        <f t="shared" si="69"/>
        <v>0</v>
      </c>
      <c r="U300" s="297">
        <f t="shared" si="69"/>
        <v>38221.361503436812</v>
      </c>
      <c r="V300" s="297">
        <f t="shared" si="68"/>
        <v>0</v>
      </c>
    </row>
    <row r="301" spans="2:22" ht="63.75">
      <c r="B301" s="320">
        <v>9</v>
      </c>
      <c r="C301" s="295" t="s">
        <v>1129</v>
      </c>
      <c r="D301" s="416" t="s">
        <v>22</v>
      </c>
      <c r="E301" s="297"/>
      <c r="F301" s="297"/>
      <c r="G301" s="297"/>
      <c r="H301" s="297"/>
      <c r="I301" s="297">
        <v>110736.2</v>
      </c>
      <c r="J301" s="297">
        <v>0</v>
      </c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</row>
    <row r="302" spans="2:22">
      <c r="B302" s="450"/>
      <c r="C302" s="330"/>
      <c r="D302" s="331"/>
      <c r="E302" s="331"/>
      <c r="F302" s="331"/>
      <c r="G302" s="331"/>
      <c r="H302" s="331"/>
      <c r="I302" s="331"/>
      <c r="J302" s="331"/>
      <c r="K302" s="331"/>
      <c r="L302" s="331"/>
    </row>
    <row r="303" spans="2:22" ht="15.75">
      <c r="B303" s="419" t="s">
        <v>1026</v>
      </c>
      <c r="C303" s="330"/>
      <c r="D303" s="331"/>
      <c r="E303" s="331"/>
      <c r="F303" s="331"/>
      <c r="G303" s="331"/>
      <c r="H303" s="331"/>
      <c r="I303" s="331">
        <v>1.0296000000000001</v>
      </c>
      <c r="J303" s="331"/>
      <c r="K303" s="331"/>
      <c r="L303" s="331"/>
      <c r="M303" s="1">
        <v>1.04</v>
      </c>
      <c r="O303" s="1">
        <v>1.04</v>
      </c>
      <c r="Q303" s="1">
        <v>1.04</v>
      </c>
      <c r="S303" s="1">
        <v>1.04</v>
      </c>
      <c r="U303" s="1">
        <v>1.04</v>
      </c>
    </row>
    <row r="304" spans="2:22" s="332" customFormat="1" ht="18.75" customHeight="1">
      <c r="B304" s="1597" t="s">
        <v>539</v>
      </c>
      <c r="C304" s="1598" t="s">
        <v>540</v>
      </c>
      <c r="D304" s="1599" t="s">
        <v>541</v>
      </c>
      <c r="E304" s="1596" t="s">
        <v>4</v>
      </c>
      <c r="F304" s="1596"/>
      <c r="G304" s="1596" t="s">
        <v>5</v>
      </c>
      <c r="H304" s="1596"/>
      <c r="I304" s="1596" t="s">
        <v>6</v>
      </c>
      <c r="J304" s="1596"/>
      <c r="K304" s="1596" t="s">
        <v>7</v>
      </c>
      <c r="L304" s="1596"/>
      <c r="M304" s="1596" t="s">
        <v>1382</v>
      </c>
      <c r="N304" s="1596"/>
      <c r="O304" s="1596" t="s">
        <v>1377</v>
      </c>
      <c r="P304" s="1596"/>
      <c r="Q304" s="1596" t="s">
        <v>10</v>
      </c>
      <c r="R304" s="1596"/>
      <c r="S304" s="1596" t="s">
        <v>11</v>
      </c>
      <c r="T304" s="1596"/>
      <c r="U304" s="1596" t="s">
        <v>12</v>
      </c>
      <c r="V304" s="1596"/>
    </row>
    <row r="305" spans="2:22" s="332" customFormat="1" ht="37.35" customHeight="1">
      <c r="B305" s="1597"/>
      <c r="C305" s="1598"/>
      <c r="D305" s="1599"/>
      <c r="E305" s="149" t="s">
        <v>13</v>
      </c>
      <c r="F305" s="150" t="s">
        <v>14</v>
      </c>
      <c r="G305" s="149" t="s">
        <v>13</v>
      </c>
      <c r="H305" s="150" t="s">
        <v>14</v>
      </c>
      <c r="I305" s="149" t="s">
        <v>13</v>
      </c>
      <c r="J305" s="150" t="s">
        <v>14</v>
      </c>
      <c r="K305" s="149" t="s">
        <v>13</v>
      </c>
      <c r="L305" s="150" t="s">
        <v>14</v>
      </c>
      <c r="M305" s="149" t="s">
        <v>16</v>
      </c>
      <c r="N305" s="150" t="s">
        <v>17</v>
      </c>
      <c r="O305" s="149" t="s">
        <v>16</v>
      </c>
      <c r="P305" s="150" t="s">
        <v>17</v>
      </c>
      <c r="Q305" s="149" t="s">
        <v>16</v>
      </c>
      <c r="R305" s="150" t="s">
        <v>17</v>
      </c>
      <c r="S305" s="149" t="s">
        <v>16</v>
      </c>
      <c r="T305" s="150" t="s">
        <v>17</v>
      </c>
      <c r="U305" s="149" t="s">
        <v>16</v>
      </c>
      <c r="V305" s="150" t="s">
        <v>17</v>
      </c>
    </row>
    <row r="306" spans="2:22" s="332" customFormat="1">
      <c r="B306" s="155">
        <v>1</v>
      </c>
      <c r="C306" s="155">
        <v>2</v>
      </c>
      <c r="D306" s="155">
        <v>3</v>
      </c>
      <c r="E306" s="155">
        <v>4</v>
      </c>
      <c r="F306" s="155">
        <v>5</v>
      </c>
      <c r="G306" s="155">
        <v>6</v>
      </c>
      <c r="H306" s="155">
        <v>7</v>
      </c>
      <c r="I306" s="155">
        <v>8</v>
      </c>
      <c r="J306" s="155">
        <v>9</v>
      </c>
      <c r="K306" s="155">
        <v>10</v>
      </c>
      <c r="L306" s="155">
        <v>11</v>
      </c>
      <c r="M306" s="155">
        <v>12</v>
      </c>
      <c r="N306" s="155">
        <v>13</v>
      </c>
      <c r="O306" s="155">
        <v>14</v>
      </c>
      <c r="P306" s="155">
        <v>15</v>
      </c>
      <c r="Q306" s="155">
        <v>16</v>
      </c>
      <c r="R306" s="155">
        <v>17</v>
      </c>
      <c r="S306" s="155">
        <v>18</v>
      </c>
      <c r="T306" s="155">
        <v>19</v>
      </c>
      <c r="U306" s="155">
        <v>20</v>
      </c>
      <c r="V306" s="155">
        <v>21</v>
      </c>
    </row>
    <row r="307" spans="2:22" ht="63">
      <c r="B307" s="425">
        <v>1</v>
      </c>
      <c r="C307" s="164" t="s">
        <v>1027</v>
      </c>
      <c r="D307" s="16" t="s">
        <v>22</v>
      </c>
      <c r="E307" s="286">
        <f>E308+E309+E310+E311+E312+E313+E314</f>
        <v>8632.2999999999993</v>
      </c>
      <c r="F307" s="286">
        <f t="shared" ref="F307:V307" si="70">F308+F309+F310+F311+F312+F313+F314</f>
        <v>7537.08</v>
      </c>
      <c r="G307" s="286">
        <f t="shared" si="70"/>
        <v>8856.74</v>
      </c>
      <c r="H307" s="286">
        <f t="shared" si="70"/>
        <v>13313.01</v>
      </c>
      <c r="I307" s="286">
        <f t="shared" si="70"/>
        <v>9118.8995040000009</v>
      </c>
      <c r="J307" s="286">
        <f t="shared" si="70"/>
        <v>7704.4269999999997</v>
      </c>
      <c r="K307" s="286">
        <f t="shared" si="70"/>
        <v>9361.74</v>
      </c>
      <c r="L307" s="286">
        <f>L308+L309+L310+L311+L312+L313+L314</f>
        <v>26251.94</v>
      </c>
      <c r="M307" s="286">
        <v>17564.509999999998</v>
      </c>
      <c r="N307" s="286">
        <f t="shared" si="70"/>
        <v>0</v>
      </c>
      <c r="O307" s="286">
        <v>20081.099999999999</v>
      </c>
      <c r="P307" s="286">
        <f>P308+P309+P310+P311+P312+P313+P314</f>
        <v>0</v>
      </c>
      <c r="Q307" s="286">
        <v>20982.34</v>
      </c>
      <c r="R307" s="286">
        <f t="shared" si="70"/>
        <v>0</v>
      </c>
      <c r="S307" s="286">
        <v>21387.89</v>
      </c>
      <c r="T307" s="286">
        <f t="shared" si="70"/>
        <v>0</v>
      </c>
      <c r="U307" s="286">
        <v>21747.09</v>
      </c>
      <c r="V307" s="286">
        <f t="shared" si="70"/>
        <v>0</v>
      </c>
    </row>
    <row r="308" spans="2:22">
      <c r="B308" s="425" t="s">
        <v>24</v>
      </c>
      <c r="C308" s="32"/>
      <c r="D308" s="16" t="s">
        <v>22</v>
      </c>
      <c r="E308" s="167">
        <v>8632.2999999999993</v>
      </c>
      <c r="F308" s="167">
        <v>7537.08</v>
      </c>
      <c r="G308" s="167">
        <v>8856.74</v>
      </c>
      <c r="H308" s="167">
        <v>13313.01</v>
      </c>
      <c r="I308" s="167">
        <f>G308*I303</f>
        <v>9118.8995040000009</v>
      </c>
      <c r="J308" s="167">
        <f>2720.002+1318.533+1724.367+1084.4+857.125</f>
        <v>7704.4269999999997</v>
      </c>
      <c r="K308" s="167">
        <v>9361.74</v>
      </c>
      <c r="L308" s="167">
        <v>26251.94</v>
      </c>
      <c r="M308" s="1094">
        <v>8915.34</v>
      </c>
      <c r="N308" s="1094"/>
      <c r="O308" s="1094">
        <f>M308*O303</f>
        <v>9271.9536000000007</v>
      </c>
      <c r="P308" s="1094"/>
      <c r="Q308" s="1094">
        <f>O308*Q303</f>
        <v>9642.831744000001</v>
      </c>
      <c r="R308" s="1094"/>
      <c r="S308" s="1094">
        <f>Q308*S303</f>
        <v>10028.545013760002</v>
      </c>
      <c r="T308" s="1094"/>
      <c r="U308" s="1094">
        <f>S308*U303</f>
        <v>10429.686814310402</v>
      </c>
      <c r="V308" s="167"/>
    </row>
    <row r="309" spans="2:22" hidden="1">
      <c r="B309" s="425" t="s">
        <v>37</v>
      </c>
      <c r="C309" s="32"/>
      <c r="D309" s="16" t="s">
        <v>22</v>
      </c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</row>
    <row r="310" spans="2:22" hidden="1">
      <c r="B310" s="425" t="s">
        <v>143</v>
      </c>
      <c r="C310" s="32"/>
      <c r="D310" s="16" t="s">
        <v>22</v>
      </c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</row>
    <row r="311" spans="2:22" hidden="1">
      <c r="B311" s="425" t="s">
        <v>144</v>
      </c>
      <c r="C311" s="32"/>
      <c r="D311" s="16" t="s">
        <v>22</v>
      </c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</row>
    <row r="312" spans="2:22" hidden="1">
      <c r="B312" s="425" t="s">
        <v>172</v>
      </c>
      <c r="C312" s="32"/>
      <c r="D312" s="16" t="s">
        <v>22</v>
      </c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</row>
    <row r="313" spans="2:22" hidden="1">
      <c r="B313" s="425" t="s">
        <v>174</v>
      </c>
      <c r="C313" s="32"/>
      <c r="D313" s="16" t="s">
        <v>22</v>
      </c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</row>
    <row r="314" spans="2:22" hidden="1">
      <c r="B314" s="425" t="s">
        <v>176</v>
      </c>
      <c r="C314" s="32"/>
      <c r="D314" s="16" t="s">
        <v>22</v>
      </c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</row>
    <row r="315" spans="2:22" ht="63">
      <c r="B315" s="425" t="s">
        <v>196</v>
      </c>
      <c r="C315" s="164" t="s">
        <v>1028</v>
      </c>
      <c r="D315" s="16" t="s">
        <v>22</v>
      </c>
      <c r="E315" s="286">
        <f t="shared" ref="E315:J315" si="71">E316+E317+E318+E319+E320+E321</f>
        <v>10011.700000000001</v>
      </c>
      <c r="F315" s="286">
        <f t="shared" si="71"/>
        <v>12699.78</v>
      </c>
      <c r="G315" s="286">
        <f t="shared" si="71"/>
        <v>0</v>
      </c>
      <c r="H315" s="286">
        <f t="shared" si="71"/>
        <v>29507.439999999999</v>
      </c>
      <c r="I315" s="286">
        <f t="shared" si="71"/>
        <v>0</v>
      </c>
      <c r="J315" s="286">
        <f t="shared" si="71"/>
        <v>30002.28</v>
      </c>
      <c r="K315" s="286">
        <v>0</v>
      </c>
      <c r="L315" s="286">
        <v>36805.440000000002</v>
      </c>
      <c r="M315" s="286">
        <f>M316+M317</f>
        <v>13015.03</v>
      </c>
      <c r="N315" s="286">
        <f t="shared" ref="N315:V315" si="72">N316+N317</f>
        <v>0</v>
      </c>
      <c r="O315" s="286">
        <f t="shared" si="72"/>
        <v>24500</v>
      </c>
      <c r="P315" s="286">
        <f t="shared" si="72"/>
        <v>0</v>
      </c>
      <c r="Q315" s="286">
        <f t="shared" si="72"/>
        <v>58552</v>
      </c>
      <c r="R315" s="286">
        <f t="shared" si="72"/>
        <v>0</v>
      </c>
      <c r="S315" s="286">
        <f t="shared" si="72"/>
        <v>60894.080000000002</v>
      </c>
      <c r="T315" s="286">
        <f t="shared" si="72"/>
        <v>0</v>
      </c>
      <c r="U315" s="286">
        <f t="shared" si="72"/>
        <v>63329.84</v>
      </c>
      <c r="V315" s="286">
        <f t="shared" si="72"/>
        <v>0</v>
      </c>
    </row>
    <row r="316" spans="2:22" ht="21">
      <c r="B316" s="425" t="s">
        <v>198</v>
      </c>
      <c r="C316" s="32" t="s">
        <v>1130</v>
      </c>
      <c r="D316" s="16" t="s">
        <v>22</v>
      </c>
      <c r="E316" s="167">
        <v>10011.700000000001</v>
      </c>
      <c r="F316" s="167">
        <v>12699.78</v>
      </c>
      <c r="G316" s="167">
        <v>0</v>
      </c>
      <c r="H316" s="167">
        <v>29507.439999999999</v>
      </c>
      <c r="I316" s="167"/>
      <c r="J316" s="167">
        <v>0</v>
      </c>
      <c r="K316" s="167"/>
      <c r="L316" s="167">
        <v>0</v>
      </c>
      <c r="M316" s="167">
        <v>0</v>
      </c>
      <c r="N316" s="167"/>
      <c r="O316" s="167">
        <f>M316*O303</f>
        <v>0</v>
      </c>
      <c r="P316" s="167"/>
      <c r="Q316" s="167">
        <f>O316*Q303</f>
        <v>0</v>
      </c>
      <c r="R316" s="167"/>
      <c r="S316" s="167">
        <f>Q316*S303</f>
        <v>0</v>
      </c>
      <c r="T316" s="167"/>
      <c r="U316" s="167">
        <f>S316*U303</f>
        <v>0</v>
      </c>
      <c r="V316" s="167"/>
    </row>
    <row r="317" spans="2:22" ht="21">
      <c r="B317" s="425" t="s">
        <v>202</v>
      </c>
      <c r="C317" s="32" t="s">
        <v>1299</v>
      </c>
      <c r="D317" s="16" t="s">
        <v>22</v>
      </c>
      <c r="E317" s="167"/>
      <c r="F317" s="167"/>
      <c r="G317" s="167"/>
      <c r="H317" s="167"/>
      <c r="I317" s="167"/>
      <c r="J317" s="167">
        <v>30002.28</v>
      </c>
      <c r="K317" s="167"/>
      <c r="L317" s="167"/>
      <c r="M317" s="167">
        <v>13015.03</v>
      </c>
      <c r="N317" s="167"/>
      <c r="O317" s="167">
        <v>24500</v>
      </c>
      <c r="P317" s="167"/>
      <c r="Q317" s="167">
        <v>58552</v>
      </c>
      <c r="R317" s="167"/>
      <c r="S317" s="167">
        <v>60894.080000000002</v>
      </c>
      <c r="T317" s="167"/>
      <c r="U317" s="167">
        <v>63329.84</v>
      </c>
      <c r="V317" s="167"/>
    </row>
    <row r="318" spans="2:22" ht="21">
      <c r="B318" s="425" t="s">
        <v>206</v>
      </c>
      <c r="C318" s="32" t="s">
        <v>1394</v>
      </c>
      <c r="D318" s="16" t="s">
        <v>22</v>
      </c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>
        <v>136193.13</v>
      </c>
      <c r="R318" s="167"/>
      <c r="S318" s="167">
        <f>Q318</f>
        <v>136193.13</v>
      </c>
      <c r="T318" s="167"/>
      <c r="U318" s="167">
        <f>S318</f>
        <v>136193.13</v>
      </c>
      <c r="V318" s="167"/>
    </row>
    <row r="319" spans="2:22">
      <c r="B319" s="425" t="s">
        <v>572</v>
      </c>
      <c r="C319" s="32"/>
      <c r="D319" s="16" t="s">
        <v>22</v>
      </c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</row>
    <row r="320" spans="2:22">
      <c r="B320" s="425" t="s">
        <v>574</v>
      </c>
      <c r="C320" s="32"/>
      <c r="D320" s="16" t="s">
        <v>22</v>
      </c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</row>
    <row r="321" spans="2:24">
      <c r="B321" s="425" t="s">
        <v>576</v>
      </c>
      <c r="C321" s="32"/>
      <c r="D321" s="16" t="s">
        <v>22</v>
      </c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</row>
    <row r="322" spans="2:24" ht="42">
      <c r="B322" s="425" t="s">
        <v>579</v>
      </c>
      <c r="C322" s="164" t="s">
        <v>1030</v>
      </c>
      <c r="D322" s="16" t="s">
        <v>22</v>
      </c>
      <c r="E322" s="286">
        <f>E323+E324</f>
        <v>5262.5537999999997</v>
      </c>
      <c r="F322" s="286">
        <f t="shared" ref="F322:V322" si="73">F323+F324</f>
        <v>5456.2648391999992</v>
      </c>
      <c r="G322" s="286">
        <f t="shared" si="73"/>
        <v>5400.2834222399997</v>
      </c>
      <c r="H322" s="286">
        <f t="shared" si="73"/>
        <v>6138.7671738069594</v>
      </c>
      <c r="I322" s="286">
        <f t="shared" si="73"/>
        <v>5560.1318115383037</v>
      </c>
      <c r="J322" s="286">
        <f t="shared" si="73"/>
        <v>3230.0984479679996</v>
      </c>
      <c r="K322" s="286">
        <f t="shared" si="73"/>
        <v>5708.1981216795693</v>
      </c>
      <c r="L322" s="286">
        <f t="shared" si="73"/>
        <v>2800.0499999999997</v>
      </c>
      <c r="M322" s="286">
        <f t="shared" si="73"/>
        <v>6324.3868799999991</v>
      </c>
      <c r="N322" s="286">
        <f t="shared" si="73"/>
        <v>0</v>
      </c>
      <c r="O322" s="286">
        <f t="shared" si="73"/>
        <v>6577.36</v>
      </c>
      <c r="P322" s="286">
        <f t="shared" si="73"/>
        <v>0</v>
      </c>
      <c r="Q322" s="286">
        <f t="shared" si="73"/>
        <v>6840.4600000000009</v>
      </c>
      <c r="R322" s="286">
        <f t="shared" si="73"/>
        <v>0</v>
      </c>
      <c r="S322" s="286">
        <f t="shared" si="73"/>
        <v>6977.26</v>
      </c>
      <c r="T322" s="286">
        <f t="shared" si="73"/>
        <v>0</v>
      </c>
      <c r="U322" s="286">
        <f t="shared" si="73"/>
        <v>7116.81</v>
      </c>
      <c r="V322" s="286">
        <f t="shared" si="73"/>
        <v>0</v>
      </c>
    </row>
    <row r="323" spans="2:24" ht="21">
      <c r="B323" s="425" t="s">
        <v>226</v>
      </c>
      <c r="C323" s="32" t="s">
        <v>209</v>
      </c>
      <c r="D323" s="16" t="s">
        <v>22</v>
      </c>
      <c r="E323" s="167">
        <f>'[7]Зар.плата осн.персонала'!E242</f>
        <v>4041.9</v>
      </c>
      <c r="F323" s="167">
        <f>'[7]Зар.плата осн.персонала'!F242</f>
        <v>4190.6795999999995</v>
      </c>
      <c r="G323" s="167">
        <f>'[7]Зар.плата осн.персонала'!G242</f>
        <v>4147.6831199999997</v>
      </c>
      <c r="H323" s="167">
        <f>'[7]Зар.плата осн.персонала'!H242</f>
        <v>4714.8749414799995</v>
      </c>
      <c r="I323" s="167">
        <f>G323*I303</f>
        <v>4270.4545403519996</v>
      </c>
      <c r="J323" s="167">
        <f>'[7]Зар.плата осн.персонала'!J242</f>
        <v>2480.8743839999997</v>
      </c>
      <c r="K323" s="167">
        <f>'[7]Зар.плата осн.персонала'!K242</f>
        <v>4384.1767447615739</v>
      </c>
      <c r="L323" s="167">
        <v>2141.6999999999998</v>
      </c>
      <c r="M323" s="167">
        <v>4857.4399999999996</v>
      </c>
      <c r="N323" s="167">
        <f>'[7]Зар.плата осн.персонала'!N242</f>
        <v>0</v>
      </c>
      <c r="O323" s="167">
        <v>5051.74</v>
      </c>
      <c r="P323" s="167">
        <f>'[7]Зар.плата осн.персонала'!P242</f>
        <v>0</v>
      </c>
      <c r="Q323" s="167">
        <v>5253.81</v>
      </c>
      <c r="R323" s="167">
        <f>'[7]Зар.плата осн.персонала'!R242</f>
        <v>0</v>
      </c>
      <c r="S323" s="167">
        <v>5358.88</v>
      </c>
      <c r="T323" s="167">
        <f>'[7]Зар.плата осн.персонала'!T242</f>
        <v>0</v>
      </c>
      <c r="U323" s="167">
        <v>5466.06</v>
      </c>
      <c r="V323" s="167">
        <f>'[7]Зар.плата осн.персонала'!V242</f>
        <v>0</v>
      </c>
    </row>
    <row r="324" spans="2:24" ht="42">
      <c r="B324" s="425" t="s">
        <v>244</v>
      </c>
      <c r="C324" s="32" t="s">
        <v>224</v>
      </c>
      <c r="D324" s="16" t="s">
        <v>22</v>
      </c>
      <c r="E324" s="167">
        <f>'[7]Зар.плата осн.персонала'!E244</f>
        <v>1220.6538</v>
      </c>
      <c r="F324" s="167">
        <f>'[7]Зар.плата осн.персонала'!F244</f>
        <v>1265.5852391999997</v>
      </c>
      <c r="G324" s="167">
        <f>'[7]Зар.плата осн.персонала'!G244</f>
        <v>1252.6003022399998</v>
      </c>
      <c r="H324" s="167">
        <f>'[7]Зар.плата осн.персонала'!H244</f>
        <v>1423.8922323269599</v>
      </c>
      <c r="I324" s="167">
        <f>G324*I303</f>
        <v>1289.6772711863039</v>
      </c>
      <c r="J324" s="167">
        <f>'[7]Зар.плата осн.персонала'!J244</f>
        <v>749.22406396799988</v>
      </c>
      <c r="K324" s="167">
        <f>'[7]Зар.плата осн.персонала'!K244</f>
        <v>1324.0213769179952</v>
      </c>
      <c r="L324" s="167">
        <v>658.35</v>
      </c>
      <c r="M324" s="167">
        <f>M323*0.302</f>
        <v>1466.9468799999997</v>
      </c>
      <c r="N324" s="167">
        <f>'[7]Зар.плата осн.персонала'!N244</f>
        <v>0</v>
      </c>
      <c r="O324" s="167">
        <v>1525.62</v>
      </c>
      <c r="P324" s="167">
        <f>'[7]Зар.плата осн.персонала'!P227</f>
        <v>0</v>
      </c>
      <c r="Q324" s="167">
        <v>1586.65</v>
      </c>
      <c r="R324" s="167">
        <f>'[7]Зар.плата осн.персонала'!R227</f>
        <v>0</v>
      </c>
      <c r="S324" s="167">
        <v>1618.38</v>
      </c>
      <c r="T324" s="167">
        <f>'[7]Зар.плата осн.персонала'!T227</f>
        <v>0</v>
      </c>
      <c r="U324" s="167">
        <v>1650.75</v>
      </c>
      <c r="V324" s="167">
        <f>'[7]Зар.плата осн.персонала'!V227</f>
        <v>0</v>
      </c>
    </row>
    <row r="325" spans="2:24">
      <c r="B325" s="421" t="s">
        <v>263</v>
      </c>
      <c r="C325" s="32" t="s">
        <v>676</v>
      </c>
      <c r="D325" s="16" t="s">
        <v>353</v>
      </c>
      <c r="E325" s="482">
        <v>0.30199999999999999</v>
      </c>
      <c r="F325" s="482">
        <v>0.30199999999999999</v>
      </c>
      <c r="G325" s="482">
        <v>0.30199999999999999</v>
      </c>
      <c r="H325" s="482">
        <v>0.30199999999999999</v>
      </c>
      <c r="I325" s="482">
        <v>0.30199999999999999</v>
      </c>
      <c r="J325" s="482">
        <v>0.30199999999999999</v>
      </c>
      <c r="K325" s="482">
        <v>0.30199999999999999</v>
      </c>
      <c r="L325" s="482">
        <f>L324/L323</f>
        <v>0.30739599383667182</v>
      </c>
      <c r="M325" s="482">
        <v>14.8695</v>
      </c>
      <c r="N325" s="482">
        <v>0.30199999999999999</v>
      </c>
      <c r="O325" s="167"/>
      <c r="P325" s="167"/>
      <c r="Q325" s="167"/>
      <c r="R325" s="167"/>
      <c r="S325" s="167"/>
      <c r="T325" s="167"/>
      <c r="U325" s="167"/>
      <c r="V325" s="167"/>
    </row>
    <row r="326" spans="2:24">
      <c r="B326" s="459"/>
      <c r="C326" s="295" t="s">
        <v>1031</v>
      </c>
      <c r="D326" s="416" t="s">
        <v>22</v>
      </c>
      <c r="E326" s="297">
        <f>E307+E315+E322</f>
        <v>23906.553800000002</v>
      </c>
      <c r="F326" s="297">
        <f t="shared" ref="F326:V326" si="74">F307+F315+F322</f>
        <v>25693.124839199998</v>
      </c>
      <c r="G326" s="297">
        <f t="shared" si="74"/>
        <v>14257.023422239999</v>
      </c>
      <c r="H326" s="297">
        <f t="shared" si="74"/>
        <v>48959.217173806959</v>
      </c>
      <c r="I326" s="297">
        <f t="shared" si="74"/>
        <v>14679.031315538305</v>
      </c>
      <c r="J326" s="297">
        <f t="shared" si="74"/>
        <v>40936.805447967992</v>
      </c>
      <c r="K326" s="297">
        <f t="shared" si="74"/>
        <v>15069.93812167957</v>
      </c>
      <c r="L326" s="297">
        <f t="shared" si="74"/>
        <v>65857.430000000008</v>
      </c>
      <c r="M326" s="297">
        <f t="shared" si="74"/>
        <v>36903.926879999999</v>
      </c>
      <c r="N326" s="297">
        <f t="shared" si="74"/>
        <v>0</v>
      </c>
      <c r="O326" s="297">
        <f>O307+O315+O322</f>
        <v>51158.46</v>
      </c>
      <c r="P326" s="297">
        <f t="shared" si="74"/>
        <v>0</v>
      </c>
      <c r="Q326" s="297">
        <f t="shared" si="74"/>
        <v>86374.8</v>
      </c>
      <c r="R326" s="297">
        <f t="shared" si="74"/>
        <v>0</v>
      </c>
      <c r="S326" s="297">
        <f t="shared" si="74"/>
        <v>89259.23</v>
      </c>
      <c r="T326" s="297">
        <f t="shared" si="74"/>
        <v>0</v>
      </c>
      <c r="U326" s="297">
        <f t="shared" si="74"/>
        <v>92193.739999999991</v>
      </c>
      <c r="V326" s="297">
        <f t="shared" si="74"/>
        <v>0</v>
      </c>
    </row>
    <row r="327" spans="2:24">
      <c r="B327" s="460"/>
      <c r="C327" s="461"/>
      <c r="D327" s="462"/>
      <c r="E327" s="331"/>
      <c r="F327" s="331"/>
      <c r="G327" s="331"/>
      <c r="H327" s="331"/>
      <c r="I327" s="331"/>
      <c r="J327" s="331"/>
      <c r="K327" s="331"/>
      <c r="L327" s="331"/>
    </row>
    <row r="328" spans="2:24" ht="15.75">
      <c r="B328" s="419" t="s">
        <v>1032</v>
      </c>
      <c r="C328" s="461"/>
      <c r="D328" s="462"/>
      <c r="E328" s="331"/>
      <c r="F328" s="331"/>
      <c r="G328" s="331"/>
      <c r="H328" s="331"/>
      <c r="I328" s="331"/>
      <c r="J328" s="331">
        <v>40936.802447967995</v>
      </c>
      <c r="K328" s="331">
        <v>15069.92812167957</v>
      </c>
      <c r="L328" s="331">
        <v>62083.653208042459</v>
      </c>
      <c r="M328" s="1">
        <v>103304.28273636416</v>
      </c>
      <c r="N328" s="1">
        <v>0</v>
      </c>
      <c r="O328" s="1">
        <v>91976.003599999996</v>
      </c>
      <c r="P328" s="1">
        <v>0</v>
      </c>
      <c r="Q328" s="1">
        <v>95655.043743999995</v>
      </c>
      <c r="R328" s="1">
        <v>0</v>
      </c>
      <c r="S328" s="1">
        <v>99481.245493759998</v>
      </c>
      <c r="T328" s="1">
        <v>0</v>
      </c>
      <c r="U328" s="1">
        <v>103460.4953135104</v>
      </c>
    </row>
    <row r="329" spans="2:24">
      <c r="B329" s="460"/>
      <c r="C329" s="461"/>
      <c r="D329" s="462"/>
      <c r="E329" s="331"/>
      <c r="F329" s="331"/>
      <c r="G329" s="331"/>
      <c r="H329" s="331"/>
      <c r="I329" s="331"/>
      <c r="J329" s="331"/>
      <c r="K329" s="331"/>
      <c r="L329" s="331"/>
    </row>
    <row r="330" spans="2:24">
      <c r="B330" s="463" t="s">
        <v>1033</v>
      </c>
      <c r="C330" s="461"/>
      <c r="D330" s="462"/>
      <c r="E330" s="462"/>
      <c r="F330" s="462"/>
      <c r="G330" s="331"/>
      <c r="H330" s="331"/>
      <c r="I330" s="1601" t="s">
        <v>1034</v>
      </c>
      <c r="J330" s="1601"/>
      <c r="K330" s="1601"/>
      <c r="L330" s="1601"/>
      <c r="M330" s="1601"/>
      <c r="N330" s="1601"/>
      <c r="W330" s="1"/>
      <c r="X330" s="1"/>
    </row>
    <row r="331" spans="2:24">
      <c r="E331" s="417"/>
      <c r="F331" s="417"/>
      <c r="I331" s="1601" t="s">
        <v>889</v>
      </c>
      <c r="J331" s="1601"/>
      <c r="K331" s="1601"/>
      <c r="L331" s="1601"/>
      <c r="M331" s="1601"/>
      <c r="N331" s="1601"/>
      <c r="W331" s="1"/>
      <c r="X331" s="1"/>
    </row>
    <row r="332" spans="2:24">
      <c r="E332" s="417"/>
      <c r="F332" s="417"/>
      <c r="I332" s="418" t="s">
        <v>890</v>
      </c>
      <c r="J332" s="418"/>
      <c r="K332" s="418"/>
      <c r="L332" s="418"/>
      <c r="M332" s="418"/>
      <c r="N332" s="418"/>
      <c r="W332" s="1"/>
      <c r="X332" s="1"/>
    </row>
    <row r="333" spans="2:24">
      <c r="E333" s="417"/>
      <c r="F333" s="417"/>
      <c r="I333" s="1601" t="s">
        <v>891</v>
      </c>
      <c r="J333" s="1601"/>
      <c r="K333" s="1601"/>
      <c r="L333" s="1601"/>
      <c r="M333" s="1601"/>
      <c r="N333" s="1601"/>
      <c r="W333" s="1"/>
      <c r="X333" s="1"/>
    </row>
    <row r="335" spans="2:24" ht="15.75">
      <c r="B335" s="419" t="s">
        <v>1337</v>
      </c>
    </row>
    <row r="336" spans="2:24" s="332" customFormat="1" ht="28.5" customHeight="1">
      <c r="B336" s="1597" t="s">
        <v>539</v>
      </c>
      <c r="C336" s="1598" t="s">
        <v>540</v>
      </c>
      <c r="D336" s="1599" t="s">
        <v>541</v>
      </c>
      <c r="E336" s="1596" t="s">
        <v>4</v>
      </c>
      <c r="F336" s="1596"/>
      <c r="G336" s="1596" t="s">
        <v>5</v>
      </c>
      <c r="H336" s="1596"/>
      <c r="I336" s="1596" t="s">
        <v>6</v>
      </c>
      <c r="J336" s="1596"/>
      <c r="K336" s="1596" t="s">
        <v>7</v>
      </c>
      <c r="L336" s="1596"/>
      <c r="M336" s="1596" t="s">
        <v>1382</v>
      </c>
      <c r="N336" s="1596"/>
      <c r="O336" s="1596" t="s">
        <v>1393</v>
      </c>
      <c r="P336" s="1596"/>
      <c r="Q336" s="1596" t="s">
        <v>10</v>
      </c>
      <c r="R336" s="1596"/>
      <c r="S336" s="1596" t="s">
        <v>11</v>
      </c>
      <c r="T336" s="1596"/>
      <c r="U336" s="1596" t="s">
        <v>12</v>
      </c>
      <c r="V336" s="1596"/>
    </row>
    <row r="337" spans="2:22" s="332" customFormat="1" ht="46.35" customHeight="1">
      <c r="B337" s="1597"/>
      <c r="C337" s="1598"/>
      <c r="D337" s="1599"/>
      <c r="E337" s="149" t="s">
        <v>13</v>
      </c>
      <c r="F337" s="150" t="s">
        <v>14</v>
      </c>
      <c r="G337" s="149" t="s">
        <v>13</v>
      </c>
      <c r="H337" s="150" t="s">
        <v>14</v>
      </c>
      <c r="I337" s="149" t="s">
        <v>13</v>
      </c>
      <c r="J337" s="150" t="s">
        <v>14</v>
      </c>
      <c r="K337" s="149" t="s">
        <v>13</v>
      </c>
      <c r="L337" s="150" t="s">
        <v>14</v>
      </c>
      <c r="M337" s="149" t="s">
        <v>16</v>
      </c>
      <c r="N337" s="150" t="s">
        <v>17</v>
      </c>
      <c r="O337" s="149" t="s">
        <v>16</v>
      </c>
      <c r="P337" s="150" t="s">
        <v>17</v>
      </c>
      <c r="Q337" s="149" t="s">
        <v>16</v>
      </c>
      <c r="R337" s="150" t="s">
        <v>17</v>
      </c>
      <c r="S337" s="149" t="s">
        <v>16</v>
      </c>
      <c r="T337" s="150" t="s">
        <v>17</v>
      </c>
      <c r="U337" s="149" t="s">
        <v>16</v>
      </c>
      <c r="V337" s="150" t="s">
        <v>17</v>
      </c>
    </row>
    <row r="338" spans="2:22" s="332" customFormat="1">
      <c r="B338" s="155">
        <v>1</v>
      </c>
      <c r="C338" s="155">
        <v>2</v>
      </c>
      <c r="D338" s="155">
        <v>3</v>
      </c>
      <c r="E338" s="155">
        <v>4</v>
      </c>
      <c r="F338" s="155">
        <v>5</v>
      </c>
      <c r="G338" s="155">
        <v>6</v>
      </c>
      <c r="H338" s="155">
        <v>7</v>
      </c>
      <c r="I338" s="155">
        <v>8</v>
      </c>
      <c r="J338" s="155">
        <v>9</v>
      </c>
      <c r="K338" s="155">
        <v>10</v>
      </c>
      <c r="L338" s="155">
        <v>11</v>
      </c>
      <c r="M338" s="155">
        <v>12</v>
      </c>
      <c r="N338" s="155">
        <v>13</v>
      </c>
      <c r="O338" s="155">
        <v>14</v>
      </c>
      <c r="P338" s="155">
        <v>15</v>
      </c>
      <c r="Q338" s="155">
        <v>16</v>
      </c>
      <c r="R338" s="155">
        <v>17</v>
      </c>
      <c r="S338" s="155">
        <v>18</v>
      </c>
      <c r="T338" s="155">
        <v>19</v>
      </c>
      <c r="U338" s="155">
        <v>20</v>
      </c>
      <c r="V338" s="155">
        <v>21</v>
      </c>
    </row>
    <row r="339" spans="2:22" ht="31.5">
      <c r="B339" s="416">
        <v>1</v>
      </c>
      <c r="C339" s="164" t="s">
        <v>1036</v>
      </c>
      <c r="D339" s="155"/>
      <c r="E339" s="181">
        <f>SUM(E340:E344)</f>
        <v>0</v>
      </c>
      <c r="F339" s="181">
        <f t="shared" ref="F339:V339" si="75">SUM(F340:F344)</f>
        <v>949668.35000000009</v>
      </c>
      <c r="G339" s="181">
        <f t="shared" si="75"/>
        <v>0</v>
      </c>
      <c r="H339" s="181">
        <f t="shared" si="75"/>
        <v>1349917.05</v>
      </c>
      <c r="I339" s="181">
        <f t="shared" si="75"/>
        <v>0</v>
      </c>
      <c r="J339" s="181">
        <f t="shared" si="75"/>
        <v>3208538.09</v>
      </c>
      <c r="K339" s="181">
        <f t="shared" si="75"/>
        <v>0</v>
      </c>
      <c r="L339" s="181">
        <f t="shared" si="75"/>
        <v>3267063</v>
      </c>
      <c r="M339" s="181">
        <f t="shared" si="75"/>
        <v>3418555</v>
      </c>
      <c r="N339" s="181">
        <f t="shared" si="75"/>
        <v>0</v>
      </c>
      <c r="O339" s="181">
        <f t="shared" si="75"/>
        <v>7932086</v>
      </c>
      <c r="P339" s="181">
        <f t="shared" si="75"/>
        <v>0</v>
      </c>
      <c r="Q339" s="181">
        <f t="shared" si="75"/>
        <v>12468184.66</v>
      </c>
      <c r="R339" s="181">
        <f t="shared" si="75"/>
        <v>0</v>
      </c>
      <c r="S339" s="181">
        <f t="shared" si="75"/>
        <v>17731230.010000002</v>
      </c>
      <c r="T339" s="181">
        <f t="shared" si="75"/>
        <v>0</v>
      </c>
      <c r="U339" s="181">
        <f>SUM(U340:U344)</f>
        <v>23296638.670000002</v>
      </c>
      <c r="V339" s="181">
        <f t="shared" si="75"/>
        <v>0</v>
      </c>
    </row>
    <row r="340" spans="2:22">
      <c r="B340" s="428" t="s">
        <v>24</v>
      </c>
      <c r="C340" s="32" t="s">
        <v>1037</v>
      </c>
      <c r="D340" s="16" t="s">
        <v>22</v>
      </c>
      <c r="E340" s="167"/>
      <c r="F340" s="167">
        <v>144326.38</v>
      </c>
      <c r="G340" s="167"/>
      <c r="H340" s="167">
        <v>365379.69</v>
      </c>
      <c r="I340" s="167"/>
      <c r="J340" s="167">
        <v>1272060.24</v>
      </c>
      <c r="K340" s="167"/>
      <c r="L340" s="167">
        <v>1278342</v>
      </c>
      <c r="M340" s="167">
        <v>1362565</v>
      </c>
      <c r="N340" s="167"/>
      <c r="O340" s="167">
        <f>M358</f>
        <v>1979911</v>
      </c>
      <c r="P340" s="167"/>
      <c r="Q340" s="167">
        <f>O358</f>
        <v>2600343.7200000002</v>
      </c>
      <c r="R340" s="167"/>
      <c r="S340" s="167">
        <f>Q358</f>
        <v>3908566.49</v>
      </c>
      <c r="T340" s="167"/>
      <c r="U340" s="167">
        <f>S358</f>
        <v>5323224.5500000007</v>
      </c>
      <c r="V340" s="167"/>
    </row>
    <row r="341" spans="2:22" ht="21">
      <c r="B341" s="334" t="s">
        <v>37</v>
      </c>
      <c r="C341" s="32" t="s">
        <v>1038</v>
      </c>
      <c r="D341" s="16" t="s">
        <v>22</v>
      </c>
      <c r="E341" s="167"/>
      <c r="F341" s="167">
        <v>707547.05</v>
      </c>
      <c r="G341" s="167"/>
      <c r="H341" s="167">
        <v>886632.25</v>
      </c>
      <c r="I341" s="167"/>
      <c r="J341" s="167">
        <v>1831476.47</v>
      </c>
      <c r="K341" s="167"/>
      <c r="L341" s="167">
        <v>1853624</v>
      </c>
      <c r="M341" s="167">
        <v>1910417</v>
      </c>
      <c r="N341" s="167"/>
      <c r="O341" s="167">
        <f>M359</f>
        <v>5798453</v>
      </c>
      <c r="P341" s="167"/>
      <c r="Q341" s="167">
        <f>O359</f>
        <v>9705929.1799999997</v>
      </c>
      <c r="R341" s="167"/>
      <c r="S341" s="167">
        <f>Q359</f>
        <v>13652480.119999999</v>
      </c>
      <c r="T341" s="167"/>
      <c r="U341" s="167">
        <f>S359</f>
        <v>17794876.359999999</v>
      </c>
      <c r="V341" s="167"/>
    </row>
    <row r="342" spans="2:22">
      <c r="B342" s="428" t="s">
        <v>143</v>
      </c>
      <c r="C342" s="32" t="s">
        <v>1039</v>
      </c>
      <c r="D342" s="16" t="s">
        <v>22</v>
      </c>
      <c r="E342" s="167"/>
      <c r="F342" s="167">
        <v>21262.86</v>
      </c>
      <c r="G342" s="167"/>
      <c r="H342" s="167">
        <v>21373.05</v>
      </c>
      <c r="I342" s="167"/>
      <c r="J342" s="167">
        <v>28469.32</v>
      </c>
      <c r="K342" s="167"/>
      <c r="L342" s="167">
        <v>34389</v>
      </c>
      <c r="M342" s="167">
        <v>43079</v>
      </c>
      <c r="N342" s="167"/>
      <c r="O342" s="167">
        <f>M360</f>
        <v>51228</v>
      </c>
      <c r="P342" s="167"/>
      <c r="Q342" s="167">
        <f>O360</f>
        <v>59417.740000000005</v>
      </c>
      <c r="R342" s="167"/>
      <c r="S342" s="167">
        <f>Q360</f>
        <v>67689.39</v>
      </c>
      <c r="T342" s="167"/>
      <c r="U342" s="167">
        <f>S360</f>
        <v>76043.760000000009</v>
      </c>
      <c r="V342" s="167"/>
    </row>
    <row r="343" spans="2:22">
      <c r="B343" s="428" t="s">
        <v>144</v>
      </c>
      <c r="C343" s="32" t="s">
        <v>1040</v>
      </c>
      <c r="D343" s="16" t="s">
        <v>22</v>
      </c>
      <c r="E343" s="167"/>
      <c r="F343" s="167">
        <v>76532.06</v>
      </c>
      <c r="G343" s="167"/>
      <c r="H343" s="167">
        <v>76532.06</v>
      </c>
      <c r="I343" s="167"/>
      <c r="J343" s="167">
        <v>76532.06</v>
      </c>
      <c r="K343" s="167"/>
      <c r="L343" s="167">
        <v>100708</v>
      </c>
      <c r="M343" s="167">
        <v>102494</v>
      </c>
      <c r="N343" s="167"/>
      <c r="O343" s="167">
        <f>M361</f>
        <v>102494</v>
      </c>
      <c r="P343" s="167"/>
      <c r="Q343" s="167">
        <f>O361</f>
        <v>102494.02</v>
      </c>
      <c r="R343" s="167"/>
      <c r="S343" s="167">
        <f>Q361</f>
        <v>102494.01000000001</v>
      </c>
      <c r="T343" s="167"/>
      <c r="U343" s="167">
        <f>S361-0.01</f>
        <v>102494.00000000001</v>
      </c>
      <c r="V343" s="167"/>
    </row>
    <row r="344" spans="2:22" hidden="1">
      <c r="B344" s="428" t="s">
        <v>172</v>
      </c>
      <c r="C344" s="32" t="s">
        <v>300</v>
      </c>
      <c r="D344" s="16" t="s">
        <v>22</v>
      </c>
      <c r="E344" s="167"/>
      <c r="F344" s="167"/>
      <c r="G344" s="167"/>
      <c r="H344" s="167"/>
      <c r="I344" s="167"/>
      <c r="J344" s="167"/>
      <c r="K344" s="167"/>
      <c r="L344" s="167"/>
      <c r="M344" s="167">
        <v>0</v>
      </c>
      <c r="N344" s="167"/>
      <c r="O344" s="167"/>
      <c r="P344" s="167"/>
      <c r="Q344" s="167">
        <f>O362</f>
        <v>0</v>
      </c>
      <c r="R344" s="167"/>
      <c r="S344" s="167">
        <f>Q362</f>
        <v>0</v>
      </c>
      <c r="T344" s="167"/>
      <c r="U344" s="167">
        <f>S368</f>
        <v>0</v>
      </c>
      <c r="V344" s="167"/>
    </row>
    <row r="345" spans="2:22">
      <c r="B345" s="459" t="s">
        <v>196</v>
      </c>
      <c r="C345" s="164" t="s">
        <v>1041</v>
      </c>
      <c r="D345" s="426"/>
      <c r="E345" s="181">
        <f>SUM(E346:E350)</f>
        <v>0</v>
      </c>
      <c r="F345" s="181">
        <f t="shared" ref="F345:V345" si="76">SUM(F346:F350)</f>
        <v>403038.59</v>
      </c>
      <c r="G345" s="181">
        <f t="shared" si="76"/>
        <v>0</v>
      </c>
      <c r="H345" s="181">
        <f>SUM(H346:H350)</f>
        <v>2695523.95</v>
      </c>
      <c r="I345" s="181">
        <f t="shared" si="76"/>
        <v>0</v>
      </c>
      <c r="J345" s="181">
        <f t="shared" si="76"/>
        <v>63295.89</v>
      </c>
      <c r="K345" s="181">
        <f t="shared" si="76"/>
        <v>0</v>
      </c>
      <c r="L345" s="181">
        <f>SUM(L346:L350)</f>
        <v>2377970</v>
      </c>
      <c r="M345" s="181">
        <f t="shared" si="76"/>
        <v>7249128</v>
      </c>
      <c r="N345" s="181">
        <f t="shared" si="76"/>
        <v>0</v>
      </c>
      <c r="O345" s="181">
        <f t="shared" si="76"/>
        <v>7285373.6400000006</v>
      </c>
      <c r="P345" s="181">
        <f t="shared" si="76"/>
        <v>0</v>
      </c>
      <c r="Q345" s="181">
        <f t="shared" si="76"/>
        <v>8039813.0900000008</v>
      </c>
      <c r="R345" s="181">
        <f t="shared" si="76"/>
        <v>0</v>
      </c>
      <c r="S345" s="181">
        <f t="shared" si="76"/>
        <v>8369944.0800000001</v>
      </c>
      <c r="T345" s="181">
        <f t="shared" si="76"/>
        <v>0</v>
      </c>
      <c r="U345" s="181">
        <f t="shared" si="76"/>
        <v>9354143.5199999996</v>
      </c>
      <c r="V345" s="181">
        <f t="shared" si="76"/>
        <v>0</v>
      </c>
    </row>
    <row r="346" spans="2:22">
      <c r="B346" s="428" t="s">
        <v>198</v>
      </c>
      <c r="C346" s="32" t="s">
        <v>1037</v>
      </c>
      <c r="D346" s="16" t="s">
        <v>22</v>
      </c>
      <c r="E346" s="167"/>
      <c r="F346" s="167">
        <v>223644.82</v>
      </c>
      <c r="G346" s="167"/>
      <c r="H346" s="167">
        <v>909548.55</v>
      </c>
      <c r="I346" s="167"/>
      <c r="J346" s="167">
        <v>9965.58</v>
      </c>
      <c r="K346" s="167"/>
      <c r="L346" s="167">
        <v>981841</v>
      </c>
      <c r="M346" s="167">
        <v>699038</v>
      </c>
      <c r="N346" s="167"/>
      <c r="O346" s="167">
        <v>702533.19</v>
      </c>
      <c r="P346" s="167"/>
      <c r="Q346" s="167">
        <v>1391144.23</v>
      </c>
      <c r="R346" s="167"/>
      <c r="S346" s="167">
        <v>1498408.74</v>
      </c>
      <c r="T346" s="167"/>
      <c r="U346" s="167">
        <v>2113892.83</v>
      </c>
      <c r="V346" s="167"/>
    </row>
    <row r="347" spans="2:22" ht="21">
      <c r="B347" s="334" t="s">
        <v>202</v>
      </c>
      <c r="C347" s="32" t="s">
        <v>1038</v>
      </c>
      <c r="D347" s="16" t="s">
        <v>22</v>
      </c>
      <c r="E347" s="167"/>
      <c r="F347" s="167">
        <v>179118.62</v>
      </c>
      <c r="G347" s="167"/>
      <c r="H347" s="167">
        <v>1784664.11</v>
      </c>
      <c r="I347" s="167"/>
      <c r="J347" s="167">
        <v>23122.43</v>
      </c>
      <c r="K347" s="167"/>
      <c r="L347" s="167">
        <v>1375399</v>
      </c>
      <c r="M347" s="167">
        <v>6540758</v>
      </c>
      <c r="N347" s="167"/>
      <c r="O347" s="167">
        <v>6573461.79</v>
      </c>
      <c r="P347" s="167"/>
      <c r="Q347" s="167">
        <v>6639196.4100000001</v>
      </c>
      <c r="R347" s="167"/>
      <c r="S347" s="167">
        <v>6861968.1600000001</v>
      </c>
      <c r="T347" s="167"/>
      <c r="U347" s="167">
        <v>7230587.8399999999</v>
      </c>
      <c r="V347" s="167"/>
    </row>
    <row r="348" spans="2:22">
      <c r="B348" s="428" t="s">
        <v>206</v>
      </c>
      <c r="C348" s="32" t="s">
        <v>1039</v>
      </c>
      <c r="D348" s="16" t="s">
        <v>22</v>
      </c>
      <c r="E348" s="167"/>
      <c r="F348" s="167">
        <v>275.14999999999998</v>
      </c>
      <c r="G348" s="167"/>
      <c r="H348" s="167">
        <v>1311.29</v>
      </c>
      <c r="I348" s="167"/>
      <c r="J348" s="167">
        <v>6032.24</v>
      </c>
      <c r="K348" s="167"/>
      <c r="L348" s="167">
        <v>20730</v>
      </c>
      <c r="M348" s="167">
        <v>9332</v>
      </c>
      <c r="N348" s="167"/>
      <c r="O348" s="167">
        <v>9378.66</v>
      </c>
      <c r="P348" s="167"/>
      <c r="Q348" s="167">
        <v>9472.4500000000007</v>
      </c>
      <c r="R348" s="167"/>
      <c r="S348" s="167">
        <v>9567.18</v>
      </c>
      <c r="T348" s="167"/>
      <c r="U348" s="167">
        <v>9662.85</v>
      </c>
      <c r="V348" s="167"/>
    </row>
    <row r="349" spans="2:22">
      <c r="B349" s="428" t="s">
        <v>572</v>
      </c>
      <c r="C349" s="32" t="s">
        <v>1040</v>
      </c>
      <c r="D349" s="16" t="s">
        <v>22</v>
      </c>
      <c r="E349" s="167"/>
      <c r="F349" s="167"/>
      <c r="G349" s="167"/>
      <c r="H349" s="167">
        <v>0</v>
      </c>
      <c r="I349" s="167"/>
      <c r="J349" s="167">
        <v>24175.64</v>
      </c>
      <c r="K349" s="167"/>
      <c r="L349" s="167"/>
      <c r="M349" s="167">
        <v>0</v>
      </c>
      <c r="N349" s="167"/>
      <c r="O349" s="167">
        <v>0</v>
      </c>
      <c r="P349" s="167"/>
      <c r="Q349" s="167">
        <v>0</v>
      </c>
      <c r="R349" s="167"/>
      <c r="S349" s="167">
        <v>0</v>
      </c>
      <c r="T349" s="167"/>
      <c r="U349" s="167">
        <v>0</v>
      </c>
      <c r="V349" s="167"/>
    </row>
    <row r="350" spans="2:22" hidden="1">
      <c r="B350" s="428" t="s">
        <v>574</v>
      </c>
      <c r="C350" s="32" t="s">
        <v>300</v>
      </c>
      <c r="D350" s="16" t="s">
        <v>22</v>
      </c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</row>
    <row r="351" spans="2:22">
      <c r="B351" s="458">
        <v>3</v>
      </c>
      <c r="C351" s="164" t="s">
        <v>1042</v>
      </c>
      <c r="D351" s="16" t="s">
        <v>22</v>
      </c>
      <c r="E351" s="181">
        <f>SUM(E352:E356)</f>
        <v>0</v>
      </c>
      <c r="F351" s="181">
        <f t="shared" ref="F351:V351" si="77">SUM(F352:F356)</f>
        <v>2789.9</v>
      </c>
      <c r="G351" s="181">
        <f t="shared" si="77"/>
        <v>0</v>
      </c>
      <c r="H351" s="181">
        <f t="shared" si="77"/>
        <v>842711.5</v>
      </c>
      <c r="I351" s="181">
        <f t="shared" si="77"/>
        <v>0</v>
      </c>
      <c r="J351" s="181">
        <f t="shared" si="77"/>
        <v>682.89</v>
      </c>
      <c r="K351" s="181">
        <f t="shared" si="77"/>
        <v>0</v>
      </c>
      <c r="L351" s="181">
        <f t="shared" si="77"/>
        <v>2233377</v>
      </c>
      <c r="M351" s="181">
        <f t="shared" si="77"/>
        <v>2735597</v>
      </c>
      <c r="N351" s="181">
        <f t="shared" si="77"/>
        <v>0</v>
      </c>
      <c r="O351" s="181">
        <f t="shared" si="77"/>
        <v>2749274.9899999998</v>
      </c>
      <c r="P351" s="181">
        <f t="shared" si="77"/>
        <v>0</v>
      </c>
      <c r="Q351" s="181">
        <f t="shared" si="77"/>
        <v>2776767.73</v>
      </c>
      <c r="R351" s="181">
        <f t="shared" si="77"/>
        <v>0</v>
      </c>
      <c r="S351" s="181">
        <f t="shared" si="77"/>
        <v>2804535.41</v>
      </c>
      <c r="T351" s="181">
        <f t="shared" si="77"/>
        <v>0</v>
      </c>
      <c r="U351" s="181">
        <f t="shared" si="77"/>
        <v>2832580.77</v>
      </c>
      <c r="V351" s="181">
        <f t="shared" si="77"/>
        <v>0</v>
      </c>
    </row>
    <row r="352" spans="2:22">
      <c r="B352" s="428" t="s">
        <v>226</v>
      </c>
      <c r="C352" s="32" t="s">
        <v>1037</v>
      </c>
      <c r="D352" s="16" t="s">
        <v>22</v>
      </c>
      <c r="E352" s="167"/>
      <c r="F352" s="167">
        <v>2591.5100000000002</v>
      </c>
      <c r="G352" s="167"/>
      <c r="H352" s="167">
        <v>2868</v>
      </c>
      <c r="I352" s="167"/>
      <c r="J352" s="167">
        <v>0</v>
      </c>
      <c r="K352" s="167">
        <v>0</v>
      </c>
      <c r="L352" s="167">
        <v>899721</v>
      </c>
      <c r="M352" s="167">
        <v>81692</v>
      </c>
      <c r="N352" s="167"/>
      <c r="O352" s="167">
        <v>82100.460000000006</v>
      </c>
      <c r="P352" s="167"/>
      <c r="Q352" s="167">
        <v>82921.460000000006</v>
      </c>
      <c r="R352" s="167"/>
      <c r="S352" s="167">
        <v>83750.679999999993</v>
      </c>
      <c r="T352" s="167"/>
      <c r="U352" s="167">
        <v>84588.19</v>
      </c>
      <c r="V352" s="167"/>
    </row>
    <row r="353" spans="2:22" ht="21">
      <c r="B353" s="334" t="s">
        <v>244</v>
      </c>
      <c r="C353" s="32" t="s">
        <v>1038</v>
      </c>
      <c r="D353" s="16" t="s">
        <v>22</v>
      </c>
      <c r="E353" s="167"/>
      <c r="F353" s="167">
        <v>33.43</v>
      </c>
      <c r="G353" s="167"/>
      <c r="H353" s="167">
        <v>839819.9</v>
      </c>
      <c r="I353" s="167"/>
      <c r="J353" s="167">
        <v>570.86</v>
      </c>
      <c r="K353" s="167"/>
      <c r="L353" s="167">
        <v>1319458</v>
      </c>
      <c r="M353" s="167">
        <v>2652722</v>
      </c>
      <c r="N353" s="167"/>
      <c r="O353" s="167">
        <v>2665985.61</v>
      </c>
      <c r="P353" s="167"/>
      <c r="Q353" s="167">
        <v>2692645.47</v>
      </c>
      <c r="R353" s="167"/>
      <c r="S353" s="167">
        <v>2719571.92</v>
      </c>
      <c r="T353" s="167"/>
      <c r="U353" s="167">
        <v>2746767.64</v>
      </c>
      <c r="V353" s="167"/>
    </row>
    <row r="354" spans="2:22">
      <c r="B354" s="428" t="s">
        <v>263</v>
      </c>
      <c r="C354" s="32" t="s">
        <v>1039</v>
      </c>
      <c r="D354" s="16" t="s">
        <v>22</v>
      </c>
      <c r="E354" s="167"/>
      <c r="F354" s="167">
        <v>164.96</v>
      </c>
      <c r="G354" s="167"/>
      <c r="H354" s="167">
        <v>23.6</v>
      </c>
      <c r="I354" s="167"/>
      <c r="J354" s="167">
        <v>112.03</v>
      </c>
      <c r="K354" s="167"/>
      <c r="L354" s="167">
        <v>14198</v>
      </c>
      <c r="M354" s="167">
        <v>1183</v>
      </c>
      <c r="N354" s="167"/>
      <c r="O354" s="167">
        <v>1188.92</v>
      </c>
      <c r="P354" s="167"/>
      <c r="Q354" s="167">
        <v>1200.8</v>
      </c>
      <c r="R354" s="167"/>
      <c r="S354" s="167">
        <v>1212.81</v>
      </c>
      <c r="T354" s="167"/>
      <c r="U354" s="167">
        <v>1224.94</v>
      </c>
      <c r="V354" s="167"/>
    </row>
    <row r="355" spans="2:22">
      <c r="B355" s="428" t="s">
        <v>264</v>
      </c>
      <c r="C355" s="32" t="s">
        <v>1040</v>
      </c>
      <c r="D355" s="16" t="s">
        <v>22</v>
      </c>
      <c r="E355" s="167"/>
      <c r="F355" s="167"/>
      <c r="G355" s="167"/>
      <c r="H355" s="167"/>
      <c r="I355" s="167"/>
      <c r="J355" s="167">
        <v>0</v>
      </c>
      <c r="K355" s="167">
        <v>0</v>
      </c>
      <c r="L355" s="167">
        <v>0</v>
      </c>
      <c r="M355" s="167">
        <v>0</v>
      </c>
      <c r="N355" s="167"/>
      <c r="O355" s="167">
        <v>0</v>
      </c>
      <c r="P355" s="167"/>
      <c r="Q355" s="167">
        <v>0</v>
      </c>
      <c r="R355" s="167"/>
      <c r="S355" s="167">
        <v>0</v>
      </c>
      <c r="T355" s="167"/>
      <c r="U355" s="167">
        <v>0</v>
      </c>
      <c r="V355" s="167"/>
    </row>
    <row r="356" spans="2:22">
      <c r="B356" s="428" t="s">
        <v>266</v>
      </c>
      <c r="C356" s="32" t="s">
        <v>300</v>
      </c>
      <c r="D356" s="16" t="s">
        <v>22</v>
      </c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</row>
    <row r="357" spans="2:22" ht="31.5">
      <c r="B357" s="458">
        <v>4</v>
      </c>
      <c r="C357" s="164" t="s">
        <v>1043</v>
      </c>
      <c r="D357" s="16"/>
      <c r="E357" s="181">
        <f>SUM(E358:E362)</f>
        <v>0</v>
      </c>
      <c r="F357" s="181">
        <f t="shared" ref="F357:V357" si="78">SUM(F358:F362)</f>
        <v>1349917.04</v>
      </c>
      <c r="G357" s="181">
        <f t="shared" si="78"/>
        <v>0</v>
      </c>
      <c r="H357" s="181">
        <f t="shared" si="78"/>
        <v>3202729.5000000005</v>
      </c>
      <c r="I357" s="181">
        <f t="shared" si="78"/>
        <v>0</v>
      </c>
      <c r="J357" s="181">
        <f t="shared" si="78"/>
        <v>3271151.09</v>
      </c>
      <c r="K357" s="181">
        <f t="shared" si="78"/>
        <v>0</v>
      </c>
      <c r="L357" s="181">
        <f t="shared" si="78"/>
        <v>3411656</v>
      </c>
      <c r="M357" s="181">
        <f t="shared" si="78"/>
        <v>7932086</v>
      </c>
      <c r="N357" s="181">
        <f t="shared" si="78"/>
        <v>0</v>
      </c>
      <c r="O357" s="181">
        <f>SUM(O358:O362)</f>
        <v>12468184.66</v>
      </c>
      <c r="P357" s="181">
        <f t="shared" si="78"/>
        <v>0</v>
      </c>
      <c r="Q357" s="181">
        <f t="shared" si="78"/>
        <v>17731230.010000002</v>
      </c>
      <c r="R357" s="181">
        <f t="shared" si="78"/>
        <v>0</v>
      </c>
      <c r="S357" s="181">
        <f t="shared" si="78"/>
        <v>23296638.680000003</v>
      </c>
      <c r="T357" s="181">
        <f t="shared" si="78"/>
        <v>0</v>
      </c>
      <c r="U357" s="181">
        <f t="shared" si="78"/>
        <v>29818201.420000002</v>
      </c>
      <c r="V357" s="181">
        <f t="shared" si="78"/>
        <v>0</v>
      </c>
    </row>
    <row r="358" spans="2:22">
      <c r="B358" s="428" t="s">
        <v>286</v>
      </c>
      <c r="C358" s="32" t="s">
        <v>1037</v>
      </c>
      <c r="D358" s="16" t="s">
        <v>22</v>
      </c>
      <c r="E358" s="167"/>
      <c r="F358" s="167">
        <v>365379.69</v>
      </c>
      <c r="G358" s="167"/>
      <c r="H358" s="167">
        <v>1272060.24</v>
      </c>
      <c r="I358" s="167"/>
      <c r="J358" s="167">
        <f>J340+J346-J352</f>
        <v>1282025.82</v>
      </c>
      <c r="K358" s="167"/>
      <c r="L358" s="167">
        <v>1360462</v>
      </c>
      <c r="M358" s="167">
        <f>M340+M346-M352</f>
        <v>1979911</v>
      </c>
      <c r="N358" s="167"/>
      <c r="O358" s="167">
        <f>O340+O346-O352-0.01</f>
        <v>2600343.7200000002</v>
      </c>
      <c r="P358" s="167"/>
      <c r="Q358" s="167">
        <f>Q340+Q346-Q352</f>
        <v>3908566.49</v>
      </c>
      <c r="R358" s="167"/>
      <c r="S358" s="167">
        <f t="shared" ref="S358:V362" si="79">S340+S346-S352</f>
        <v>5323224.5500000007</v>
      </c>
      <c r="T358" s="167">
        <f t="shared" si="79"/>
        <v>0</v>
      </c>
      <c r="U358" s="167">
        <f t="shared" si="79"/>
        <v>7352529.1900000004</v>
      </c>
      <c r="V358" s="167">
        <f t="shared" si="79"/>
        <v>0</v>
      </c>
    </row>
    <row r="359" spans="2:22" ht="21">
      <c r="B359" s="428" t="s">
        <v>1014</v>
      </c>
      <c r="C359" s="32" t="s">
        <v>1038</v>
      </c>
      <c r="D359" s="16" t="s">
        <v>22</v>
      </c>
      <c r="E359" s="167"/>
      <c r="F359" s="167">
        <v>886632.24</v>
      </c>
      <c r="G359" s="167"/>
      <c r="H359" s="167">
        <v>1831476.46</v>
      </c>
      <c r="I359" s="167"/>
      <c r="J359" s="167">
        <f>J341+J347-J353</f>
        <v>1854028.0399999998</v>
      </c>
      <c r="K359" s="167"/>
      <c r="L359" s="167">
        <v>1909565</v>
      </c>
      <c r="M359" s="167">
        <f>M341+M347-M353</f>
        <v>5798453</v>
      </c>
      <c r="N359" s="167"/>
      <c r="O359" s="167">
        <f>O341+O347-O353</f>
        <v>9705929.1799999997</v>
      </c>
      <c r="P359" s="167"/>
      <c r="Q359" s="167">
        <f>Q341+Q347-Q353</f>
        <v>13652480.119999999</v>
      </c>
      <c r="R359" s="167"/>
      <c r="S359" s="167">
        <f t="shared" si="79"/>
        <v>17794876.359999999</v>
      </c>
      <c r="T359" s="167">
        <f t="shared" si="79"/>
        <v>0</v>
      </c>
      <c r="U359" s="167">
        <f t="shared" si="79"/>
        <v>22278696.559999999</v>
      </c>
      <c r="V359" s="167">
        <f t="shared" si="79"/>
        <v>0</v>
      </c>
    </row>
    <row r="360" spans="2:22">
      <c r="B360" s="428" t="s">
        <v>1016</v>
      </c>
      <c r="C360" s="32" t="s">
        <v>1039</v>
      </c>
      <c r="D360" s="16" t="s">
        <v>22</v>
      </c>
      <c r="E360" s="167"/>
      <c r="F360" s="167">
        <v>21373.05</v>
      </c>
      <c r="G360" s="167"/>
      <c r="H360" s="167">
        <v>22660.74</v>
      </c>
      <c r="I360" s="167"/>
      <c r="J360" s="167">
        <f>J342+J348-J354</f>
        <v>34389.53</v>
      </c>
      <c r="K360" s="167"/>
      <c r="L360" s="167">
        <v>40921</v>
      </c>
      <c r="M360" s="167">
        <f>M342+M348-M354</f>
        <v>51228</v>
      </c>
      <c r="N360" s="167"/>
      <c r="O360" s="167">
        <f>O342+O348-O354</f>
        <v>59417.740000000005</v>
      </c>
      <c r="P360" s="167"/>
      <c r="Q360" s="167">
        <f>Q342+Q348-Q354</f>
        <v>67689.39</v>
      </c>
      <c r="R360" s="167"/>
      <c r="S360" s="167">
        <f t="shared" si="79"/>
        <v>76043.760000000009</v>
      </c>
      <c r="T360" s="167">
        <f t="shared" si="79"/>
        <v>0</v>
      </c>
      <c r="U360" s="167">
        <f t="shared" si="79"/>
        <v>84481.670000000013</v>
      </c>
      <c r="V360" s="167">
        <f t="shared" si="79"/>
        <v>0</v>
      </c>
    </row>
    <row r="361" spans="2:22">
      <c r="B361" s="428" t="s">
        <v>1017</v>
      </c>
      <c r="C361" s="32" t="s">
        <v>1040</v>
      </c>
      <c r="D361" s="16" t="s">
        <v>22</v>
      </c>
      <c r="E361" s="167"/>
      <c r="F361" s="167">
        <v>76532.06</v>
      </c>
      <c r="G361" s="167"/>
      <c r="H361" s="167">
        <v>76532.06</v>
      </c>
      <c r="I361" s="167"/>
      <c r="J361" s="167">
        <f>J343+J349-J355</f>
        <v>100707.7</v>
      </c>
      <c r="K361" s="167"/>
      <c r="L361" s="167">
        <v>100708</v>
      </c>
      <c r="M361" s="167">
        <f>M343+M349-M355</f>
        <v>102494</v>
      </c>
      <c r="N361" s="167"/>
      <c r="O361" s="167">
        <f>O343+O349-O355+0.02</f>
        <v>102494.02</v>
      </c>
      <c r="P361" s="167"/>
      <c r="Q361" s="167">
        <f>Q343+Q349-Q355-0.01</f>
        <v>102494.01000000001</v>
      </c>
      <c r="R361" s="167"/>
      <c r="S361" s="167">
        <f t="shared" si="79"/>
        <v>102494.01000000001</v>
      </c>
      <c r="T361" s="167">
        <f t="shared" si="79"/>
        <v>0</v>
      </c>
      <c r="U361" s="167">
        <f t="shared" si="79"/>
        <v>102494.00000000001</v>
      </c>
      <c r="V361" s="167">
        <f t="shared" si="79"/>
        <v>0</v>
      </c>
    </row>
    <row r="362" spans="2:22" hidden="1">
      <c r="B362" s="428" t="s">
        <v>1019</v>
      </c>
      <c r="C362" s="32" t="s">
        <v>300</v>
      </c>
      <c r="D362" s="16" t="s">
        <v>22</v>
      </c>
      <c r="E362" s="167"/>
      <c r="F362" s="167"/>
      <c r="G362" s="167"/>
      <c r="H362" s="167"/>
      <c r="I362" s="167"/>
      <c r="J362" s="167"/>
      <c r="K362" s="167"/>
      <c r="L362" s="167"/>
      <c r="M362" s="167">
        <f>M344+M350-M356</f>
        <v>0</v>
      </c>
      <c r="N362" s="167"/>
      <c r="O362" s="167">
        <f>O344+O350-O356</f>
        <v>0</v>
      </c>
      <c r="P362" s="167"/>
      <c r="Q362" s="167">
        <f>Q344+Q350-Q356</f>
        <v>0</v>
      </c>
      <c r="R362" s="167"/>
      <c r="S362" s="167">
        <f t="shared" si="79"/>
        <v>0</v>
      </c>
      <c r="T362" s="167">
        <f t="shared" si="79"/>
        <v>0</v>
      </c>
      <c r="U362" s="167">
        <f t="shared" si="79"/>
        <v>0</v>
      </c>
      <c r="V362" s="167">
        <f t="shared" si="79"/>
        <v>0</v>
      </c>
    </row>
    <row r="363" spans="2:22">
      <c r="B363" s="459" t="s">
        <v>585</v>
      </c>
      <c r="C363" s="164" t="s">
        <v>1044</v>
      </c>
      <c r="D363" s="16"/>
      <c r="E363" s="181">
        <f>SUM(E364:E368)</f>
        <v>0</v>
      </c>
      <c r="F363" s="181">
        <f t="shared" ref="F363:V363" si="80">SUM(F364:F368)</f>
        <v>452323.22</v>
      </c>
      <c r="G363" s="181">
        <f t="shared" si="80"/>
        <v>0</v>
      </c>
      <c r="H363" s="181">
        <f t="shared" si="80"/>
        <v>1865008.66</v>
      </c>
      <c r="I363" s="181">
        <f t="shared" si="80"/>
        <v>0</v>
      </c>
      <c r="J363" s="181">
        <f t="shared" si="80"/>
        <v>2733844.56</v>
      </c>
      <c r="K363" s="181">
        <f t="shared" si="80"/>
        <v>0</v>
      </c>
      <c r="L363" s="181">
        <f>SUM(L364:L368)</f>
        <v>2694695</v>
      </c>
      <c r="M363" s="181">
        <f t="shared" si="80"/>
        <v>5165576</v>
      </c>
      <c r="N363" s="181">
        <f t="shared" si="80"/>
        <v>0</v>
      </c>
      <c r="O363" s="181">
        <f>SUM(O364:O368)</f>
        <v>9415509.5353846159</v>
      </c>
      <c r="P363" s="181">
        <f t="shared" si="80"/>
        <v>0</v>
      </c>
      <c r="Q363" s="181">
        <f>SUM(Q364:Q368)</f>
        <v>13938191.386153845</v>
      </c>
      <c r="R363" s="181">
        <f t="shared" si="80"/>
        <v>0</v>
      </c>
      <c r="S363" s="181">
        <f t="shared" si="80"/>
        <v>18935939.395384613</v>
      </c>
      <c r="T363" s="181">
        <f t="shared" si="80"/>
        <v>0</v>
      </c>
      <c r="U363" s="181">
        <f t="shared" si="80"/>
        <v>24514541.580000002</v>
      </c>
      <c r="V363" s="181">
        <f t="shared" si="80"/>
        <v>0</v>
      </c>
    </row>
    <row r="364" spans="2:22">
      <c r="B364" s="428" t="s">
        <v>290</v>
      </c>
      <c r="C364" s="32" t="s">
        <v>1037</v>
      </c>
      <c r="D364" s="16" t="s">
        <v>22</v>
      </c>
      <c r="E364" s="167"/>
      <c r="F364" s="167">
        <v>16884.53</v>
      </c>
      <c r="G364" s="167"/>
      <c r="H364" s="167">
        <v>743711.11</v>
      </c>
      <c r="I364" s="167"/>
      <c r="J364" s="167">
        <v>1096202.98</v>
      </c>
      <c r="K364" s="167"/>
      <c r="L364" s="167">
        <v>1094556</v>
      </c>
      <c r="M364" s="167">
        <v>1433637</v>
      </c>
      <c r="N364" s="167"/>
      <c r="O364" s="167">
        <f>(O340+O358)/2*12/13</f>
        <v>2113963.7169230771</v>
      </c>
      <c r="P364" s="167"/>
      <c r="Q364" s="167">
        <f>(Q340+Q358)/2*12/13</f>
        <v>3004112.404615385</v>
      </c>
      <c r="R364" s="167"/>
      <c r="S364" s="167">
        <f>(S340+S358)/2*12/13</f>
        <v>4260826.6338461544</v>
      </c>
      <c r="T364" s="167">
        <f t="shared" ref="T364:V367" si="81">(T339+T357)/2</f>
        <v>0</v>
      </c>
      <c r="U364" s="167">
        <f>(U340+U358)/2*12/13</f>
        <v>5850347.8800000008</v>
      </c>
      <c r="V364" s="167">
        <f t="shared" si="81"/>
        <v>0</v>
      </c>
    </row>
    <row r="365" spans="2:22" ht="21">
      <c r="B365" s="428" t="s">
        <v>1045</v>
      </c>
      <c r="C365" s="32" t="s">
        <v>1038</v>
      </c>
      <c r="D365" s="16" t="s">
        <v>22</v>
      </c>
      <c r="E365" s="167"/>
      <c r="F365" s="167">
        <v>367377.32</v>
      </c>
      <c r="G365" s="167"/>
      <c r="H365" s="167">
        <v>1067677.6299999999</v>
      </c>
      <c r="I365" s="167"/>
      <c r="J365" s="167">
        <v>1589956.4</v>
      </c>
      <c r="K365" s="167"/>
      <c r="L365" s="167">
        <v>1541920</v>
      </c>
      <c r="M365" s="167">
        <v>3696364</v>
      </c>
      <c r="N365" s="167"/>
      <c r="O365" s="167">
        <f>(O341+O359)/2*12/13</f>
        <v>7155868.6984615382</v>
      </c>
      <c r="P365" s="167"/>
      <c r="Q365" s="167">
        <f>(Q341+Q359)/2*12/13</f>
        <v>10780804.292307692</v>
      </c>
      <c r="R365" s="167"/>
      <c r="S365" s="167">
        <f>(S341+S359)/2*12/13</f>
        <v>14514164.52923077</v>
      </c>
      <c r="T365" s="167">
        <f t="shared" si="81"/>
        <v>0</v>
      </c>
      <c r="U365" s="167">
        <f>(U341+U359)/2*12/13</f>
        <v>18495495.193846155</v>
      </c>
      <c r="V365" s="167">
        <f t="shared" si="81"/>
        <v>0</v>
      </c>
    </row>
    <row r="366" spans="2:22">
      <c r="B366" s="428" t="s">
        <v>1046</v>
      </c>
      <c r="C366" s="32" t="s">
        <v>1039</v>
      </c>
      <c r="D366" s="16" t="s">
        <v>22</v>
      </c>
      <c r="E366" s="167"/>
      <c r="F366" s="167">
        <v>8949.2999999999993</v>
      </c>
      <c r="G366" s="167"/>
      <c r="H366" s="167">
        <v>7295.34</v>
      </c>
      <c r="I366" s="167"/>
      <c r="J366" s="167">
        <v>12997.98</v>
      </c>
      <c r="K366" s="167"/>
      <c r="L366" s="167">
        <v>19776</v>
      </c>
      <c r="M366" s="167">
        <v>15177</v>
      </c>
      <c r="N366" s="167"/>
      <c r="O366" s="167">
        <f>(O342+O360)/2*12/13</f>
        <v>51067.264615384622</v>
      </c>
      <c r="P366" s="167"/>
      <c r="Q366" s="167">
        <f>(Q342+Q360)/2*12/13</f>
        <v>58664.829230769232</v>
      </c>
      <c r="R366" s="167"/>
      <c r="S366" s="167">
        <f>(S342+S360)/2*12/13</f>
        <v>66338.376923076939</v>
      </c>
      <c r="T366" s="167">
        <f t="shared" si="81"/>
        <v>0</v>
      </c>
      <c r="U366" s="167">
        <f>(U342+U360)/2*12/13</f>
        <v>74088.66</v>
      </c>
      <c r="V366" s="167">
        <f t="shared" si="81"/>
        <v>0</v>
      </c>
    </row>
    <row r="367" spans="2:22">
      <c r="B367" s="428" t="s">
        <v>1047</v>
      </c>
      <c r="C367" s="32" t="s">
        <v>1040</v>
      </c>
      <c r="D367" s="16" t="s">
        <v>22</v>
      </c>
      <c r="E367" s="167"/>
      <c r="F367" s="167">
        <v>59112.07</v>
      </c>
      <c r="G367" s="167"/>
      <c r="H367" s="167">
        <v>46324.58</v>
      </c>
      <c r="I367" s="167"/>
      <c r="J367" s="167">
        <v>34687.199999999997</v>
      </c>
      <c r="K367" s="167"/>
      <c r="L367" s="167">
        <v>38443</v>
      </c>
      <c r="M367" s="167">
        <v>20398</v>
      </c>
      <c r="N367" s="167"/>
      <c r="O367" s="167">
        <f>(O343+O361)/2*12/13</f>
        <v>94609.855384615395</v>
      </c>
      <c r="P367" s="167"/>
      <c r="Q367" s="167">
        <f>(Q343+Q361)/2*12/13</f>
        <v>94609.860000000015</v>
      </c>
      <c r="R367" s="167"/>
      <c r="S367" s="167">
        <f>(S343+S361)/2*12/13</f>
        <v>94609.855384615395</v>
      </c>
      <c r="T367" s="167">
        <f t="shared" si="81"/>
        <v>0</v>
      </c>
      <c r="U367" s="167">
        <f>(U343+U361)/2*12/13</f>
        <v>94609.846153846171</v>
      </c>
      <c r="V367" s="167">
        <f t="shared" si="81"/>
        <v>0</v>
      </c>
    </row>
    <row r="368" spans="2:22" hidden="1">
      <c r="B368" s="428" t="s">
        <v>1048</v>
      </c>
      <c r="C368" s="32" t="s">
        <v>300</v>
      </c>
      <c r="D368" s="16" t="s">
        <v>22</v>
      </c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>
        <f>(U344+U362)/2*12/13</f>
        <v>0</v>
      </c>
      <c r="V368" s="167"/>
    </row>
    <row r="369" spans="2:22" ht="21">
      <c r="B369" s="416">
        <v>6</v>
      </c>
      <c r="C369" s="164" t="s">
        <v>1049</v>
      </c>
      <c r="D369" s="16" t="s">
        <v>353</v>
      </c>
      <c r="E369" s="181">
        <f>SUM(E370:E374)</f>
        <v>0</v>
      </c>
      <c r="F369" s="181">
        <f t="shared" ref="F369:V369" si="82">SUM(F370:F374)</f>
        <v>236.84</v>
      </c>
      <c r="G369" s="181">
        <f t="shared" si="82"/>
        <v>0</v>
      </c>
      <c r="H369" s="181">
        <f t="shared" si="82"/>
        <v>236.84</v>
      </c>
      <c r="I369" s="181">
        <f t="shared" si="82"/>
        <v>0</v>
      </c>
      <c r="J369" s="181">
        <f t="shared" si="82"/>
        <v>182.96</v>
      </c>
      <c r="K369" s="181">
        <f t="shared" si="82"/>
        <v>0</v>
      </c>
      <c r="L369" s="181">
        <f t="shared" si="82"/>
        <v>202.01</v>
      </c>
      <c r="M369" s="181">
        <f t="shared" si="82"/>
        <v>212.86</v>
      </c>
      <c r="N369" s="181">
        <f t="shared" si="82"/>
        <v>0</v>
      </c>
      <c r="O369" s="181">
        <f>SUM(O370:O373)</f>
        <v>213.92000000000002</v>
      </c>
      <c r="P369" s="181">
        <f t="shared" si="82"/>
        <v>0</v>
      </c>
      <c r="Q369" s="181">
        <f t="shared" si="82"/>
        <v>216.06</v>
      </c>
      <c r="R369" s="181">
        <f t="shared" si="82"/>
        <v>0</v>
      </c>
      <c r="S369" s="181">
        <f t="shared" si="82"/>
        <v>218.22</v>
      </c>
      <c r="T369" s="181">
        <f t="shared" si="82"/>
        <v>0</v>
      </c>
      <c r="U369" s="181">
        <f t="shared" si="82"/>
        <v>220.40899999999999</v>
      </c>
      <c r="V369" s="181">
        <f t="shared" si="82"/>
        <v>0</v>
      </c>
    </row>
    <row r="370" spans="2:22">
      <c r="B370" s="334" t="s">
        <v>293</v>
      </c>
      <c r="C370" s="32" t="s">
        <v>1037</v>
      </c>
      <c r="D370" s="16" t="s">
        <v>353</v>
      </c>
      <c r="E370" s="167"/>
      <c r="F370" s="167">
        <v>48.31</v>
      </c>
      <c r="G370" s="167"/>
      <c r="H370" s="167">
        <v>48.31</v>
      </c>
      <c r="I370" s="167"/>
      <c r="J370" s="167">
        <v>35.14</v>
      </c>
      <c r="K370" s="167"/>
      <c r="L370" s="167">
        <v>39.11</v>
      </c>
      <c r="M370" s="167">
        <v>37.9</v>
      </c>
      <c r="N370" s="167"/>
      <c r="O370" s="167">
        <v>38.090000000000003</v>
      </c>
      <c r="P370" s="167"/>
      <c r="Q370" s="167">
        <v>38.47</v>
      </c>
      <c r="R370" s="167"/>
      <c r="S370" s="167">
        <v>38.86</v>
      </c>
      <c r="T370" s="167"/>
      <c r="U370" s="167">
        <v>39.244</v>
      </c>
      <c r="V370" s="167"/>
    </row>
    <row r="371" spans="2:22" ht="21">
      <c r="B371" s="334" t="s">
        <v>301</v>
      </c>
      <c r="C371" s="32" t="s">
        <v>1038</v>
      </c>
      <c r="D371" s="16" t="s">
        <v>353</v>
      </c>
      <c r="E371" s="167"/>
      <c r="F371" s="167">
        <v>75.95</v>
      </c>
      <c r="G371" s="167"/>
      <c r="H371" s="167">
        <v>75.95</v>
      </c>
      <c r="I371" s="167"/>
      <c r="J371" s="167">
        <v>25.86</v>
      </c>
      <c r="K371" s="167"/>
      <c r="L371" s="167">
        <v>29.34</v>
      </c>
      <c r="M371" s="167">
        <v>26.9</v>
      </c>
      <c r="N371" s="167"/>
      <c r="O371" s="167">
        <v>27.03</v>
      </c>
      <c r="P371" s="167"/>
      <c r="Q371" s="167">
        <v>27.3</v>
      </c>
      <c r="R371" s="167"/>
      <c r="S371" s="167">
        <v>27.58</v>
      </c>
      <c r="T371" s="167"/>
      <c r="U371" s="167">
        <v>27.85</v>
      </c>
      <c r="V371" s="167"/>
    </row>
    <row r="372" spans="2:22">
      <c r="B372" s="334" t="s">
        <v>303</v>
      </c>
      <c r="C372" s="32" t="s">
        <v>1039</v>
      </c>
      <c r="D372" s="16" t="s">
        <v>353</v>
      </c>
      <c r="E372" s="167"/>
      <c r="F372" s="167">
        <v>87.99</v>
      </c>
      <c r="G372" s="167"/>
      <c r="H372" s="167">
        <v>87.99</v>
      </c>
      <c r="I372" s="167"/>
      <c r="J372" s="167">
        <v>84.72</v>
      </c>
      <c r="K372" s="167"/>
      <c r="L372" s="167">
        <v>85.11</v>
      </c>
      <c r="M372" s="167">
        <v>86.17</v>
      </c>
      <c r="N372" s="167"/>
      <c r="O372" s="167">
        <v>86.6</v>
      </c>
      <c r="P372" s="167"/>
      <c r="Q372" s="167">
        <v>87.47</v>
      </c>
      <c r="R372" s="167"/>
      <c r="S372" s="167">
        <v>88.34</v>
      </c>
      <c r="T372" s="167"/>
      <c r="U372" s="167">
        <v>89.224999999999994</v>
      </c>
      <c r="V372" s="167"/>
    </row>
    <row r="373" spans="2:22">
      <c r="B373" s="334" t="s">
        <v>305</v>
      </c>
      <c r="C373" s="32" t="s">
        <v>1040</v>
      </c>
      <c r="D373" s="16" t="s">
        <v>353</v>
      </c>
      <c r="E373" s="167"/>
      <c r="F373" s="167">
        <v>24.59</v>
      </c>
      <c r="G373" s="167"/>
      <c r="H373" s="167">
        <v>24.59</v>
      </c>
      <c r="I373" s="167"/>
      <c r="J373" s="167">
        <v>37.24</v>
      </c>
      <c r="K373" s="167"/>
      <c r="L373" s="167">
        <v>48.45</v>
      </c>
      <c r="M373" s="167">
        <v>61.89</v>
      </c>
      <c r="N373" s="167"/>
      <c r="O373" s="167">
        <v>62.2</v>
      </c>
      <c r="P373" s="167"/>
      <c r="Q373" s="167">
        <v>62.82</v>
      </c>
      <c r="R373" s="167"/>
      <c r="S373" s="167">
        <v>63.44</v>
      </c>
      <c r="T373" s="167"/>
      <c r="U373" s="167">
        <v>64.09</v>
      </c>
      <c r="V373" s="167"/>
    </row>
    <row r="374" spans="2:22" hidden="1">
      <c r="B374" s="334" t="s">
        <v>307</v>
      </c>
      <c r="C374" s="32" t="s">
        <v>300</v>
      </c>
      <c r="D374" s="16" t="s">
        <v>353</v>
      </c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</row>
    <row r="375" spans="2:22" ht="36.75" customHeight="1">
      <c r="B375" s="458" t="s">
        <v>679</v>
      </c>
      <c r="C375" s="164" t="s">
        <v>1050</v>
      </c>
      <c r="D375" s="16" t="s">
        <v>22</v>
      </c>
      <c r="E375" s="181">
        <v>29290</v>
      </c>
      <c r="F375" s="181">
        <f t="shared" ref="F375:V375" si="83">SUM(F376:F380)</f>
        <v>56084.170000000006</v>
      </c>
      <c r="G375" s="181">
        <f t="shared" si="83"/>
        <v>46484.109999999993</v>
      </c>
      <c r="H375" s="181">
        <f t="shared" si="83"/>
        <v>112283.94</v>
      </c>
      <c r="I375" s="181">
        <f>SUM(I376:I380)</f>
        <v>191400.02</v>
      </c>
      <c r="J375" s="181">
        <f t="shared" si="83"/>
        <v>150382.26</v>
      </c>
      <c r="K375" s="181">
        <f t="shared" si="83"/>
        <v>0</v>
      </c>
      <c r="L375" s="181">
        <f t="shared" si="83"/>
        <v>160548.25000000003</v>
      </c>
      <c r="M375" s="181">
        <f>SUM(M376:M380)</f>
        <v>280540</v>
      </c>
      <c r="N375" s="181">
        <f t="shared" si="83"/>
        <v>0</v>
      </c>
      <c r="O375" s="181">
        <f>SUM(O376:O380)</f>
        <v>281942.71600000001</v>
      </c>
      <c r="P375" s="181">
        <f t="shared" si="83"/>
        <v>0</v>
      </c>
      <c r="Q375" s="181">
        <f>SUM(Q376:Q380)</f>
        <v>288538.25</v>
      </c>
      <c r="R375" s="181">
        <f t="shared" si="83"/>
        <v>0</v>
      </c>
      <c r="S375" s="181">
        <f t="shared" si="83"/>
        <v>292772.85000000003</v>
      </c>
      <c r="T375" s="181">
        <f t="shared" si="83"/>
        <v>0</v>
      </c>
      <c r="U375" s="181">
        <f t="shared" si="83"/>
        <v>295700.58</v>
      </c>
      <c r="V375" s="181">
        <f t="shared" si="83"/>
        <v>0</v>
      </c>
    </row>
    <row r="376" spans="2:22">
      <c r="B376" s="334" t="s">
        <v>310</v>
      </c>
      <c r="C376" s="32" t="s">
        <v>1037</v>
      </c>
      <c r="D376" s="16" t="s">
        <v>22</v>
      </c>
      <c r="E376" s="167"/>
      <c r="F376" s="167">
        <v>4993.41</v>
      </c>
      <c r="G376" s="167">
        <v>4333.97</v>
      </c>
      <c r="H376" s="167">
        <v>28214.45</v>
      </c>
      <c r="I376" s="167">
        <f>H376+10000</f>
        <v>38214.449999999997</v>
      </c>
      <c r="J376" s="167">
        <v>44466.55</v>
      </c>
      <c r="K376" s="167"/>
      <c r="L376" s="167">
        <v>46194.59</v>
      </c>
      <c r="M376" s="167">
        <v>59909</v>
      </c>
      <c r="N376" s="167"/>
      <c r="O376" s="167">
        <v>60208.55</v>
      </c>
      <c r="P376" s="167"/>
      <c r="Q376" s="167">
        <v>64586.75</v>
      </c>
      <c r="R376" s="167"/>
      <c r="S376" s="167">
        <v>65749.820000000007</v>
      </c>
      <c r="T376" s="167"/>
      <c r="U376" s="167">
        <v>66407.320000000007</v>
      </c>
      <c r="V376" s="167"/>
    </row>
    <row r="377" spans="2:22" ht="21">
      <c r="B377" s="334" t="s">
        <v>312</v>
      </c>
      <c r="C377" s="32" t="s">
        <v>1038</v>
      </c>
      <c r="D377" s="16" t="s">
        <v>22</v>
      </c>
      <c r="E377" s="167"/>
      <c r="F377" s="167">
        <v>33763.83</v>
      </c>
      <c r="G377" s="167">
        <v>31379.13</v>
      </c>
      <c r="H377" s="167">
        <v>66743.350000000006</v>
      </c>
      <c r="I377" s="167">
        <f>H377+100000-24656.47-6227.45</f>
        <v>135859.43</v>
      </c>
      <c r="J377" s="167">
        <v>85759.71</v>
      </c>
      <c r="K377" s="167"/>
      <c r="L377" s="167">
        <v>87383.48</v>
      </c>
      <c r="M377" s="167">
        <v>195234</v>
      </c>
      <c r="N377" s="167"/>
      <c r="O377" s="167">
        <v>196210.17</v>
      </c>
      <c r="P377" s="167"/>
      <c r="Q377" s="167">
        <v>198172.27</v>
      </c>
      <c r="R377" s="167"/>
      <c r="S377" s="167">
        <v>200986.01</v>
      </c>
      <c r="T377" s="167"/>
      <c r="U377" s="167">
        <v>202995.87</v>
      </c>
      <c r="V377" s="167"/>
    </row>
    <row r="378" spans="2:22">
      <c r="B378" s="334" t="s">
        <v>314</v>
      </c>
      <c r="C378" s="32" t="s">
        <v>1039</v>
      </c>
      <c r="D378" s="16" t="s">
        <v>22</v>
      </c>
      <c r="E378" s="167"/>
      <c r="F378" s="167">
        <v>2271.44</v>
      </c>
      <c r="G378" s="167">
        <v>2413.77</v>
      </c>
      <c r="H378" s="167">
        <v>2270.65</v>
      </c>
      <c r="I378" s="167">
        <v>2270.65</v>
      </c>
      <c r="J378" s="167">
        <v>4843.71</v>
      </c>
      <c r="K378" s="167"/>
      <c r="L378" s="167">
        <v>7244.42</v>
      </c>
      <c r="M378" s="167">
        <v>7843</v>
      </c>
      <c r="N378" s="167"/>
      <c r="O378" s="167">
        <v>7882.22</v>
      </c>
      <c r="P378" s="167"/>
      <c r="Q378" s="167">
        <v>7961.04</v>
      </c>
      <c r="R378" s="167"/>
      <c r="S378" s="167">
        <v>8040.65</v>
      </c>
      <c r="T378" s="167"/>
      <c r="U378" s="167">
        <v>8121.05</v>
      </c>
      <c r="V378" s="167"/>
    </row>
    <row r="379" spans="2:22">
      <c r="B379" s="334" t="s">
        <v>316</v>
      </c>
      <c r="C379" s="32" t="s">
        <v>1040</v>
      </c>
      <c r="D379" s="16" t="s">
        <v>22</v>
      </c>
      <c r="E379" s="167"/>
      <c r="F379" s="167">
        <v>15055.49</v>
      </c>
      <c r="G379" s="167">
        <v>5313.47</v>
      </c>
      <c r="H379" s="167">
        <v>15055.49</v>
      </c>
      <c r="I379" s="167">
        <v>15055.49</v>
      </c>
      <c r="J379" s="167">
        <v>15312.29</v>
      </c>
      <c r="K379" s="167"/>
      <c r="L379" s="167">
        <v>19725.759999999998</v>
      </c>
      <c r="M379" s="167">
        <v>17554</v>
      </c>
      <c r="N379" s="167"/>
      <c r="O379" s="167">
        <v>17641.776000000002</v>
      </c>
      <c r="P379" s="167"/>
      <c r="Q379" s="167">
        <v>17818.189999999999</v>
      </c>
      <c r="R379" s="167"/>
      <c r="S379" s="167">
        <v>17996.37</v>
      </c>
      <c r="T379" s="167"/>
      <c r="U379" s="167">
        <v>18176.34</v>
      </c>
      <c r="V379" s="167"/>
    </row>
    <row r="380" spans="2:22" hidden="1">
      <c r="B380" s="334" t="s">
        <v>318</v>
      </c>
      <c r="C380" s="32" t="s">
        <v>300</v>
      </c>
      <c r="D380" s="16" t="s">
        <v>22</v>
      </c>
      <c r="E380" s="167"/>
      <c r="F380" s="167"/>
      <c r="G380" s="167">
        <f>38.77+3005</f>
        <v>3043.77</v>
      </c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</row>
    <row r="381" spans="2:22">
      <c r="B381" s="458" t="s">
        <v>324</v>
      </c>
      <c r="C381" s="164" t="s">
        <v>1052</v>
      </c>
      <c r="D381" s="16"/>
      <c r="E381" s="181">
        <f>SUM(E382:E386)</f>
        <v>0</v>
      </c>
      <c r="F381" s="181">
        <f t="shared" ref="F381:V381" si="84">SUM(F382:F386)</f>
        <v>0</v>
      </c>
      <c r="G381" s="181">
        <f t="shared" si="84"/>
        <v>0</v>
      </c>
      <c r="H381" s="181">
        <f t="shared" si="84"/>
        <v>0</v>
      </c>
      <c r="I381" s="181">
        <f t="shared" si="84"/>
        <v>0</v>
      </c>
      <c r="J381" s="181">
        <f t="shared" si="84"/>
        <v>0</v>
      </c>
      <c r="K381" s="181">
        <f t="shared" si="84"/>
        <v>0</v>
      </c>
      <c r="L381" s="181">
        <f t="shared" si="84"/>
        <v>0</v>
      </c>
      <c r="M381" s="181">
        <f t="shared" si="84"/>
        <v>0</v>
      </c>
      <c r="N381" s="181">
        <f t="shared" si="84"/>
        <v>0</v>
      </c>
      <c r="O381" s="181">
        <f t="shared" si="84"/>
        <v>0</v>
      </c>
      <c r="P381" s="181">
        <f t="shared" si="84"/>
        <v>0</v>
      </c>
      <c r="Q381" s="181">
        <f t="shared" si="84"/>
        <v>0</v>
      </c>
      <c r="R381" s="181">
        <f t="shared" si="84"/>
        <v>0</v>
      </c>
      <c r="S381" s="181">
        <f t="shared" si="84"/>
        <v>0</v>
      </c>
      <c r="T381" s="181">
        <f t="shared" si="84"/>
        <v>0</v>
      </c>
      <c r="U381" s="181">
        <f t="shared" si="84"/>
        <v>0</v>
      </c>
      <c r="V381" s="181">
        <f t="shared" si="84"/>
        <v>0</v>
      </c>
    </row>
    <row r="382" spans="2:22" hidden="1">
      <c r="B382" s="428" t="s">
        <v>680</v>
      </c>
      <c r="C382" s="32" t="s">
        <v>1037</v>
      </c>
      <c r="D382" s="16" t="s">
        <v>22</v>
      </c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</row>
    <row r="383" spans="2:22" ht="21" hidden="1">
      <c r="B383" s="428" t="s">
        <v>682</v>
      </c>
      <c r="C383" s="32" t="s">
        <v>1038</v>
      </c>
      <c r="D383" s="16" t="s">
        <v>22</v>
      </c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</row>
    <row r="384" spans="2:22" hidden="1">
      <c r="B384" s="428" t="s">
        <v>684</v>
      </c>
      <c r="C384" s="32" t="s">
        <v>1039</v>
      </c>
      <c r="D384" s="16" t="s">
        <v>22</v>
      </c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</row>
    <row r="385" spans="2:22" hidden="1">
      <c r="B385" s="428" t="s">
        <v>1053</v>
      </c>
      <c r="C385" s="32" t="s">
        <v>1040</v>
      </c>
      <c r="D385" s="16" t="s">
        <v>22</v>
      </c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</row>
    <row r="386" spans="2:22" hidden="1">
      <c r="B386" s="457" t="s">
        <v>1054</v>
      </c>
      <c r="C386" s="32" t="s">
        <v>300</v>
      </c>
      <c r="D386" s="16" t="s">
        <v>22</v>
      </c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</row>
    <row r="387" spans="2:22">
      <c r="B387" s="428"/>
      <c r="C387" s="295" t="s">
        <v>1055</v>
      </c>
      <c r="D387" s="416" t="s">
        <v>22</v>
      </c>
      <c r="E387" s="297">
        <f>E375</f>
        <v>29290</v>
      </c>
      <c r="F387" s="297">
        <f t="shared" ref="F387:V387" si="85">F375</f>
        <v>56084.170000000006</v>
      </c>
      <c r="G387" s="297">
        <f t="shared" si="85"/>
        <v>46484.109999999993</v>
      </c>
      <c r="H387" s="297">
        <f t="shared" si="85"/>
        <v>112283.94</v>
      </c>
      <c r="I387" s="297">
        <f t="shared" si="85"/>
        <v>191400.02</v>
      </c>
      <c r="J387" s="297">
        <f t="shared" si="85"/>
        <v>150382.26</v>
      </c>
      <c r="K387" s="297">
        <v>191264.72</v>
      </c>
      <c r="L387" s="297">
        <f>L375</f>
        <v>160548.25000000003</v>
      </c>
      <c r="M387" s="297">
        <f t="shared" si="85"/>
        <v>280540</v>
      </c>
      <c r="N387" s="297">
        <f t="shared" si="85"/>
        <v>0</v>
      </c>
      <c r="O387" s="297">
        <f t="shared" si="85"/>
        <v>281942.71600000001</v>
      </c>
      <c r="P387" s="297">
        <f t="shared" si="85"/>
        <v>0</v>
      </c>
      <c r="Q387" s="297">
        <f>Q375</f>
        <v>288538.25</v>
      </c>
      <c r="R387" s="297">
        <f t="shared" si="85"/>
        <v>0</v>
      </c>
      <c r="S387" s="297">
        <f t="shared" si="85"/>
        <v>292772.85000000003</v>
      </c>
      <c r="T387" s="297">
        <f t="shared" si="85"/>
        <v>0</v>
      </c>
      <c r="U387" s="297">
        <f t="shared" si="85"/>
        <v>295700.58</v>
      </c>
      <c r="V387" s="297">
        <f t="shared" si="85"/>
        <v>0</v>
      </c>
    </row>
    <row r="388" spans="2:22">
      <c r="B388" s="1600" t="s">
        <v>1131</v>
      </c>
      <c r="C388" s="1600"/>
      <c r="D388" s="1600"/>
      <c r="E388" s="1600"/>
      <c r="F388" s="1600"/>
      <c r="G388" s="1600"/>
      <c r="H388" s="297">
        <f>36326.86</f>
        <v>36326.86</v>
      </c>
      <c r="I388" s="313"/>
      <c r="J388" s="297" t="e">
        <f>77313.9-#REF!</f>
        <v>#REF!</v>
      </c>
      <c r="K388" s="313"/>
      <c r="L388" s="297">
        <f>12583.144+34768.95</f>
        <v>47352.093999999997</v>
      </c>
      <c r="M388" s="297">
        <f>L388</f>
        <v>47352.093999999997</v>
      </c>
      <c r="N388" s="313"/>
      <c r="O388" s="297">
        <f>M388</f>
        <v>47352.093999999997</v>
      </c>
      <c r="P388" s="313"/>
      <c r="Q388" s="297">
        <f>O388</f>
        <v>47352.093999999997</v>
      </c>
      <c r="R388" s="313"/>
      <c r="S388" s="297">
        <f>Q388</f>
        <v>47352.093999999997</v>
      </c>
      <c r="T388" s="313"/>
      <c r="U388" s="297">
        <f>S388</f>
        <v>47352.093999999997</v>
      </c>
      <c r="V388" s="313"/>
    </row>
    <row r="389" spans="2:22">
      <c r="B389" s="430"/>
      <c r="C389" s="430"/>
      <c r="D389" s="430"/>
      <c r="E389" s="430"/>
      <c r="F389" s="430"/>
    </row>
    <row r="390" spans="2:22" ht="27">
      <c r="B390" s="679"/>
      <c r="C390" s="465" t="s">
        <v>1056</v>
      </c>
      <c r="D390" s="426"/>
      <c r="E390" s="313"/>
      <c r="F390" s="313"/>
      <c r="G390" s="313"/>
      <c r="H390" s="313"/>
      <c r="I390" s="313"/>
      <c r="J390" s="313">
        <f>34.34</f>
        <v>34.340000000000003</v>
      </c>
      <c r="K390" s="313"/>
      <c r="L390" s="673">
        <v>53760.78</v>
      </c>
      <c r="M390" s="673">
        <v>37797.550000000003</v>
      </c>
      <c r="N390" s="673">
        <f t="shared" ref="N390:T390" si="86">N387</f>
        <v>0</v>
      </c>
      <c r="O390" s="673">
        <f>M390</f>
        <v>37797.550000000003</v>
      </c>
      <c r="P390" s="673">
        <f t="shared" si="86"/>
        <v>0</v>
      </c>
      <c r="Q390" s="673">
        <f>O390</f>
        <v>37797.550000000003</v>
      </c>
      <c r="R390" s="673">
        <f t="shared" si="86"/>
        <v>0</v>
      </c>
      <c r="S390" s="673">
        <f>Q390</f>
        <v>37797.550000000003</v>
      </c>
      <c r="T390" s="673">
        <f t="shared" si="86"/>
        <v>0</v>
      </c>
      <c r="U390" s="673">
        <f>S390</f>
        <v>37797.550000000003</v>
      </c>
      <c r="V390" s="313"/>
    </row>
    <row r="391" spans="2:22" ht="18">
      <c r="B391" s="679"/>
      <c r="C391" s="465" t="s">
        <v>1302</v>
      </c>
      <c r="D391" s="426"/>
      <c r="E391" s="313"/>
      <c r="F391" s="313"/>
      <c r="G391" s="313"/>
      <c r="H391" s="313"/>
      <c r="I391" s="313"/>
      <c r="J391" s="313"/>
      <c r="K391" s="313"/>
      <c r="L391" s="673">
        <f>L387-L390</f>
        <v>106787.47000000003</v>
      </c>
      <c r="M391" s="673">
        <f>M387-M390</f>
        <v>242742.45</v>
      </c>
      <c r="N391" s="673">
        <f t="shared" ref="N391:V391" si="87">N387-N390</f>
        <v>0</v>
      </c>
      <c r="O391" s="673">
        <f>O387-O390</f>
        <v>244145.16600000003</v>
      </c>
      <c r="P391" s="673">
        <f t="shared" si="87"/>
        <v>0</v>
      </c>
      <c r="Q391" s="673">
        <f t="shared" si="87"/>
        <v>250740.7</v>
      </c>
      <c r="R391" s="673">
        <f t="shared" si="87"/>
        <v>0</v>
      </c>
      <c r="S391" s="673">
        <f t="shared" si="87"/>
        <v>254975.30000000005</v>
      </c>
      <c r="T391" s="673">
        <f t="shared" si="87"/>
        <v>0</v>
      </c>
      <c r="U391" s="673">
        <f t="shared" si="87"/>
        <v>257903.03000000003</v>
      </c>
      <c r="V391" s="673">
        <f t="shared" si="87"/>
        <v>0</v>
      </c>
    </row>
    <row r="392" spans="2:22" ht="27" hidden="1">
      <c r="B392" s="679"/>
      <c r="C392" s="465" t="s">
        <v>1288</v>
      </c>
      <c r="D392" s="674"/>
      <c r="E392" s="312"/>
      <c r="F392" s="312"/>
      <c r="G392" s="312"/>
      <c r="H392" s="312"/>
      <c r="I392" s="312"/>
      <c r="J392" s="312"/>
      <c r="K392" s="312"/>
      <c r="L392" s="675">
        <v>0</v>
      </c>
      <c r="M392" s="312">
        <v>0</v>
      </c>
      <c r="N392" s="312"/>
      <c r="O392" s="312">
        <v>0</v>
      </c>
      <c r="P392" s="312"/>
      <c r="Q392" s="312">
        <v>0</v>
      </c>
      <c r="R392" s="312"/>
      <c r="S392" s="312">
        <v>0</v>
      </c>
      <c r="T392" s="312"/>
      <c r="U392" s="312">
        <v>0</v>
      </c>
      <c r="V392" s="312"/>
    </row>
    <row r="393" spans="2:22" ht="45" customHeight="1">
      <c r="B393" s="466"/>
      <c r="C393" s="467" t="s">
        <v>1057</v>
      </c>
      <c r="D393" s="676"/>
      <c r="E393" s="468"/>
      <c r="F393" s="468"/>
      <c r="G393" s="468"/>
      <c r="H393" s="468"/>
      <c r="I393" s="468"/>
      <c r="J393" s="468" t="e">
        <f>#REF!-J390+J394</f>
        <v>#REF!</v>
      </c>
      <c r="K393" s="468"/>
      <c r="L393" s="468">
        <f>L387-L390+L392+L394</f>
        <v>118501.05000000003</v>
      </c>
      <c r="M393" s="468">
        <f>M387-M390+M392+M394</f>
        <v>242742.45</v>
      </c>
      <c r="N393" s="468">
        <f t="shared" ref="N393:V393" si="88">N387-N390+N392+N394</f>
        <v>0</v>
      </c>
      <c r="O393" s="468">
        <f>O387-O390+O392+O394</f>
        <v>244145.16600000003</v>
      </c>
      <c r="P393" s="468">
        <f t="shared" si="88"/>
        <v>0</v>
      </c>
      <c r="Q393" s="468">
        <f t="shared" si="88"/>
        <v>250740.7</v>
      </c>
      <c r="R393" s="468">
        <f t="shared" si="88"/>
        <v>0</v>
      </c>
      <c r="S393" s="468">
        <f t="shared" si="88"/>
        <v>254975.30000000005</v>
      </c>
      <c r="T393" s="468">
        <f t="shared" si="88"/>
        <v>0</v>
      </c>
      <c r="U393" s="468">
        <f>U387-U390+U392+U394</f>
        <v>257903.03000000003</v>
      </c>
      <c r="V393" s="468">
        <f t="shared" si="88"/>
        <v>0</v>
      </c>
    </row>
    <row r="394" spans="2:22" ht="18">
      <c r="B394" s="679"/>
      <c r="C394" s="465" t="s">
        <v>1301</v>
      </c>
      <c r="D394" s="674"/>
      <c r="E394" s="312"/>
      <c r="F394" s="312"/>
      <c r="G394" s="312"/>
      <c r="H394" s="312"/>
      <c r="I394" s="312"/>
      <c r="J394" s="312">
        <f>44371.83*0.48</f>
        <v>21298.4784</v>
      </c>
      <c r="K394" s="312"/>
      <c r="L394" s="312">
        <v>11713.58</v>
      </c>
      <c r="M394" s="312">
        <v>0</v>
      </c>
      <c r="N394" s="312"/>
      <c r="O394" s="312">
        <v>0</v>
      </c>
      <c r="P394" s="312"/>
      <c r="Q394" s="312">
        <v>0</v>
      </c>
      <c r="R394" s="312"/>
      <c r="S394" s="312">
        <v>0</v>
      </c>
      <c r="T394" s="312"/>
      <c r="U394" s="312">
        <v>0</v>
      </c>
      <c r="V394" s="312"/>
    </row>
    <row r="395" spans="2:22">
      <c r="B395" s="430"/>
      <c r="C395" s="430"/>
      <c r="D395" s="430"/>
      <c r="E395" s="430"/>
      <c r="F395" s="430"/>
      <c r="U395" s="118"/>
    </row>
    <row r="396" spans="2:22" hidden="1">
      <c r="B396" s="430"/>
      <c r="C396" s="430"/>
      <c r="D396" s="430"/>
      <c r="E396" s="430"/>
      <c r="F396" s="430"/>
      <c r="L396" s="700"/>
      <c r="M396" s="700" t="s">
        <v>1325</v>
      </c>
      <c r="N396" s="700"/>
      <c r="Q396" s="118"/>
      <c r="S396" s="118"/>
      <c r="U396" s="1" t="s">
        <v>1325</v>
      </c>
    </row>
    <row r="397" spans="2:22" ht="27" hidden="1">
      <c r="B397" s="699"/>
      <c r="C397" s="465" t="s">
        <v>1056</v>
      </c>
      <c r="D397" s="426"/>
      <c r="E397" s="313"/>
      <c r="F397" s="313"/>
      <c r="G397" s="313"/>
      <c r="H397" s="313"/>
      <c r="I397" s="313"/>
      <c r="J397" s="313">
        <f>34.34</f>
        <v>34.340000000000003</v>
      </c>
      <c r="K397" s="313"/>
      <c r="L397" s="673">
        <v>53760.78</v>
      </c>
      <c r="M397" s="673">
        <f>M390</f>
        <v>37797.550000000003</v>
      </c>
      <c r="N397" s="673">
        <f>N394</f>
        <v>0</v>
      </c>
      <c r="O397" s="673">
        <v>51185.45</v>
      </c>
      <c r="P397" s="673">
        <f>P394</f>
        <v>0</v>
      </c>
      <c r="Q397" s="673">
        <v>49448.08</v>
      </c>
      <c r="R397" s="673">
        <f>R394</f>
        <v>0</v>
      </c>
      <c r="S397" s="673">
        <v>47692.51</v>
      </c>
      <c r="T397" s="673">
        <f>T394</f>
        <v>0</v>
      </c>
      <c r="U397" s="673">
        <v>51910.27</v>
      </c>
      <c r="V397" s="313"/>
    </row>
    <row r="398" spans="2:22" ht="18" hidden="1">
      <c r="B398" s="699"/>
      <c r="C398" s="465" t="s">
        <v>1302</v>
      </c>
      <c r="D398" s="426"/>
      <c r="E398" s="313"/>
      <c r="F398" s="313"/>
      <c r="G398" s="313"/>
      <c r="H398" s="313"/>
      <c r="I398" s="313"/>
      <c r="J398" s="313"/>
      <c r="K398" s="313"/>
      <c r="L398" s="673">
        <f>L394-L397</f>
        <v>-42047.199999999997</v>
      </c>
      <c r="M398" s="673">
        <f t="shared" ref="M398:U398" si="89">M387-M397</f>
        <v>242742.45</v>
      </c>
      <c r="N398" s="673">
        <f t="shared" si="89"/>
        <v>0</v>
      </c>
      <c r="O398" s="673">
        <f t="shared" si="89"/>
        <v>230757.266</v>
      </c>
      <c r="P398" s="673">
        <f t="shared" si="89"/>
        <v>0</v>
      </c>
      <c r="Q398" s="673">
        <f t="shared" si="89"/>
        <v>239090.16999999998</v>
      </c>
      <c r="R398" s="673">
        <f t="shared" si="89"/>
        <v>0</v>
      </c>
      <c r="S398" s="673">
        <f t="shared" si="89"/>
        <v>245080.34000000003</v>
      </c>
      <c r="T398" s="673">
        <f t="shared" si="89"/>
        <v>0</v>
      </c>
      <c r="U398" s="673">
        <f t="shared" si="89"/>
        <v>243790.31000000003</v>
      </c>
      <c r="V398" s="673">
        <f>V394-V397</f>
        <v>0</v>
      </c>
    </row>
    <row r="399" spans="2:22" ht="27" hidden="1">
      <c r="B399" s="699"/>
      <c r="C399" s="465" t="s">
        <v>1288</v>
      </c>
      <c r="D399" s="674"/>
      <c r="E399" s="312"/>
      <c r="F399" s="312"/>
      <c r="G399" s="312"/>
      <c r="H399" s="312"/>
      <c r="I399" s="312"/>
      <c r="J399" s="312"/>
      <c r="K399" s="312"/>
      <c r="L399" s="675">
        <v>0</v>
      </c>
      <c r="M399" s="312">
        <v>132604</v>
      </c>
      <c r="N399" s="312"/>
      <c r="O399" s="312">
        <v>212196.18</v>
      </c>
      <c r="P399" s="312"/>
      <c r="Q399" s="312">
        <v>212196.18</v>
      </c>
      <c r="R399" s="312"/>
      <c r="S399" s="312">
        <v>212196.18</v>
      </c>
      <c r="T399" s="312"/>
      <c r="U399" s="312">
        <v>212196.18</v>
      </c>
      <c r="V399" s="312"/>
    </row>
    <row r="400" spans="2:22" ht="36" hidden="1">
      <c r="B400" s="466"/>
      <c r="C400" s="467" t="s">
        <v>1057</v>
      </c>
      <c r="D400" s="676"/>
      <c r="E400" s="468"/>
      <c r="F400" s="468"/>
      <c r="G400" s="468"/>
      <c r="H400" s="468"/>
      <c r="I400" s="468"/>
      <c r="J400" s="468" t="e">
        <f>#REF!-J397+J401</f>
        <v>#REF!</v>
      </c>
      <c r="K400" s="468"/>
      <c r="L400" s="468">
        <f>L394-L397+L399+L401</f>
        <v>-30333.619999999995</v>
      </c>
      <c r="M400" s="468">
        <f>M387-M397+M399+M401-505.87</f>
        <v>386553.58</v>
      </c>
      <c r="N400" s="468">
        <f>N394-N397+N399+N401</f>
        <v>0</v>
      </c>
      <c r="O400" s="468">
        <f t="shared" ref="O400:V400" si="90">O387-O397+O399+O401</f>
        <v>454667.446</v>
      </c>
      <c r="P400" s="468">
        <f t="shared" si="90"/>
        <v>0</v>
      </c>
      <c r="Q400" s="468">
        <f t="shared" si="90"/>
        <v>463000.35</v>
      </c>
      <c r="R400" s="468">
        <f t="shared" si="90"/>
        <v>0</v>
      </c>
      <c r="S400" s="468">
        <f t="shared" si="90"/>
        <v>468990.52</v>
      </c>
      <c r="T400" s="468">
        <f t="shared" si="90"/>
        <v>0</v>
      </c>
      <c r="U400" s="468">
        <f t="shared" si="90"/>
        <v>467700.49</v>
      </c>
      <c r="V400" s="468">
        <f t="shared" si="90"/>
        <v>0</v>
      </c>
    </row>
    <row r="401" spans="2:22" ht="18" hidden="1">
      <c r="B401" s="699"/>
      <c r="C401" s="465" t="s">
        <v>1301</v>
      </c>
      <c r="D401" s="674"/>
      <c r="E401" s="312"/>
      <c r="F401" s="312"/>
      <c r="G401" s="312"/>
      <c r="H401" s="312"/>
      <c r="I401" s="312"/>
      <c r="J401" s="312">
        <f>44371.83*0.48</f>
        <v>21298.4784</v>
      </c>
      <c r="K401" s="312"/>
      <c r="L401" s="312">
        <v>11713.58</v>
      </c>
      <c r="M401" s="312">
        <f>11713</f>
        <v>11713</v>
      </c>
      <c r="N401" s="312"/>
      <c r="O401" s="312">
        <v>11714</v>
      </c>
      <c r="P401" s="312"/>
      <c r="Q401" s="312">
        <v>11714</v>
      </c>
      <c r="R401" s="312"/>
      <c r="S401" s="312">
        <v>11714</v>
      </c>
      <c r="T401" s="312"/>
      <c r="U401" s="312">
        <v>11714</v>
      </c>
      <c r="V401" s="312"/>
    </row>
    <row r="402" spans="2:22" hidden="1">
      <c r="B402" s="430"/>
      <c r="C402" s="430"/>
      <c r="D402" s="430"/>
      <c r="E402" s="430"/>
      <c r="F402" s="430"/>
      <c r="M402" s="313" t="s">
        <v>1341</v>
      </c>
      <c r="N402" s="313" t="s">
        <v>697</v>
      </c>
      <c r="O402" s="313" t="s">
        <v>698</v>
      </c>
    </row>
    <row r="403" spans="2:22" hidden="1">
      <c r="B403" s="430"/>
      <c r="C403" s="430"/>
      <c r="D403" s="430"/>
      <c r="E403" s="430"/>
      <c r="F403" s="430"/>
      <c r="M403" s="313" t="s">
        <v>1338</v>
      </c>
      <c r="N403" s="312">
        <f>'расшифровки ВС'!O389+'расшифровки ВС'!O394</f>
        <v>157881.28</v>
      </c>
      <c r="O403" s="717">
        <f>O387-O390+O394</f>
        <v>244145.16600000003</v>
      </c>
    </row>
    <row r="404" spans="2:22" hidden="1">
      <c r="B404" s="430"/>
      <c r="C404" s="430"/>
      <c r="D404" s="430"/>
      <c r="E404" s="430"/>
      <c r="F404" s="430"/>
      <c r="M404" s="313" t="s">
        <v>1339</v>
      </c>
      <c r="N404" s="312">
        <f>'расшифровки ВС'!O392</f>
        <v>0</v>
      </c>
      <c r="O404" s="312">
        <f>O392</f>
        <v>0</v>
      </c>
    </row>
    <row r="405" spans="2:22" hidden="1">
      <c r="M405" s="313" t="s">
        <v>1340</v>
      </c>
      <c r="N405" s="312">
        <f>SUM(N403:N404)</f>
        <v>157881.28</v>
      </c>
      <c r="O405" s="717">
        <f>SUM(O403:O404)</f>
        <v>244145.16600000003</v>
      </c>
    </row>
    <row r="406" spans="2:22" ht="15.75">
      <c r="B406" s="419" t="s">
        <v>1058</v>
      </c>
    </row>
    <row r="407" spans="2:22" s="332" customFormat="1" ht="15" customHeight="1">
      <c r="B407" s="1597" t="s">
        <v>539</v>
      </c>
      <c r="C407" s="1598" t="s">
        <v>540</v>
      </c>
      <c r="D407" s="1599" t="s">
        <v>541</v>
      </c>
      <c r="E407" s="1596" t="s">
        <v>4</v>
      </c>
      <c r="F407" s="1596"/>
      <c r="G407" s="1596" t="s">
        <v>5</v>
      </c>
      <c r="H407" s="1596"/>
      <c r="I407" s="1596" t="s">
        <v>6</v>
      </c>
      <c r="J407" s="1596"/>
      <c r="K407" s="1596" t="s">
        <v>7</v>
      </c>
      <c r="L407" s="1596"/>
      <c r="M407" s="1596" t="s">
        <v>8</v>
      </c>
      <c r="N407" s="1596"/>
      <c r="O407" s="1596" t="s">
        <v>9</v>
      </c>
      <c r="P407" s="1596"/>
      <c r="Q407" s="1596" t="s">
        <v>10</v>
      </c>
      <c r="R407" s="1596"/>
      <c r="S407" s="1596" t="s">
        <v>11</v>
      </c>
      <c r="T407" s="1596"/>
      <c r="U407" s="1596" t="s">
        <v>12</v>
      </c>
      <c r="V407" s="1596"/>
    </row>
    <row r="408" spans="2:22" s="332" customFormat="1" ht="46.35" customHeight="1">
      <c r="B408" s="1597"/>
      <c r="C408" s="1598"/>
      <c r="D408" s="1599"/>
      <c r="E408" s="149" t="s">
        <v>13</v>
      </c>
      <c r="F408" s="150" t="s">
        <v>14</v>
      </c>
      <c r="G408" s="149" t="s">
        <v>13</v>
      </c>
      <c r="H408" s="150" t="s">
        <v>14</v>
      </c>
      <c r="I408" s="149" t="s">
        <v>13</v>
      </c>
      <c r="J408" s="150" t="s">
        <v>14</v>
      </c>
      <c r="K408" s="149" t="s">
        <v>13</v>
      </c>
      <c r="L408" s="150" t="s">
        <v>14</v>
      </c>
      <c r="M408" s="149" t="s">
        <v>16</v>
      </c>
      <c r="N408" s="150" t="s">
        <v>17</v>
      </c>
      <c r="O408" s="149" t="s">
        <v>16</v>
      </c>
      <c r="P408" s="150" t="s">
        <v>17</v>
      </c>
      <c r="Q408" s="149" t="s">
        <v>16</v>
      </c>
      <c r="R408" s="150" t="s">
        <v>17</v>
      </c>
      <c r="S408" s="149" t="s">
        <v>16</v>
      </c>
      <c r="T408" s="150" t="s">
        <v>17</v>
      </c>
      <c r="U408" s="149" t="s">
        <v>16</v>
      </c>
      <c r="V408" s="150" t="s">
        <v>17</v>
      </c>
    </row>
    <row r="409" spans="2:22" s="332" customFormat="1">
      <c r="B409" s="155">
        <v>1</v>
      </c>
      <c r="C409" s="155">
        <v>2</v>
      </c>
      <c r="D409" s="155">
        <v>3</v>
      </c>
      <c r="E409" s="155">
        <v>4</v>
      </c>
      <c r="F409" s="155">
        <v>5</v>
      </c>
      <c r="G409" s="155">
        <v>6</v>
      </c>
      <c r="H409" s="155">
        <v>7</v>
      </c>
      <c r="I409" s="155">
        <v>8</v>
      </c>
      <c r="J409" s="155">
        <v>9</v>
      </c>
      <c r="K409" s="155">
        <v>10</v>
      </c>
      <c r="L409" s="155">
        <v>11</v>
      </c>
      <c r="M409" s="155">
        <v>12</v>
      </c>
      <c r="N409" s="155">
        <v>13</v>
      </c>
      <c r="O409" s="155">
        <v>14</v>
      </c>
      <c r="P409" s="155">
        <v>15</v>
      </c>
      <c r="Q409" s="155">
        <v>16</v>
      </c>
      <c r="R409" s="155">
        <v>17</v>
      </c>
      <c r="S409" s="155">
        <v>18</v>
      </c>
      <c r="T409" s="155">
        <v>19</v>
      </c>
      <c r="U409" s="155">
        <v>20</v>
      </c>
      <c r="V409" s="155">
        <v>21</v>
      </c>
    </row>
    <row r="410" spans="2:22">
      <c r="B410" s="458">
        <v>1</v>
      </c>
      <c r="C410" s="164" t="s">
        <v>294</v>
      </c>
      <c r="D410" s="16" t="s">
        <v>22</v>
      </c>
      <c r="E410" s="181">
        <f>SUM(E411:E416)</f>
        <v>0</v>
      </c>
      <c r="F410" s="181">
        <f t="shared" ref="F410:V410" si="91">SUM(F411:F416)</f>
        <v>0</v>
      </c>
      <c r="G410" s="181">
        <f t="shared" si="91"/>
        <v>0</v>
      </c>
      <c r="H410" s="181">
        <f t="shared" si="91"/>
        <v>0</v>
      </c>
      <c r="I410" s="181">
        <f t="shared" si="91"/>
        <v>0</v>
      </c>
      <c r="J410" s="181">
        <f t="shared" si="91"/>
        <v>0</v>
      </c>
      <c r="K410" s="181">
        <f t="shared" si="91"/>
        <v>0</v>
      </c>
      <c r="L410" s="181">
        <f t="shared" si="91"/>
        <v>0</v>
      </c>
      <c r="M410" s="181">
        <f t="shared" si="91"/>
        <v>0</v>
      </c>
      <c r="N410" s="181">
        <f t="shared" si="91"/>
        <v>0</v>
      </c>
      <c r="O410" s="181">
        <f t="shared" si="91"/>
        <v>0</v>
      </c>
      <c r="P410" s="181">
        <f t="shared" si="91"/>
        <v>0</v>
      </c>
      <c r="Q410" s="181">
        <f t="shared" si="91"/>
        <v>0</v>
      </c>
      <c r="R410" s="181">
        <f t="shared" si="91"/>
        <v>0</v>
      </c>
      <c r="S410" s="181">
        <f t="shared" si="91"/>
        <v>0</v>
      </c>
      <c r="T410" s="181">
        <f t="shared" si="91"/>
        <v>0</v>
      </c>
      <c r="U410" s="181">
        <f t="shared" si="91"/>
        <v>0</v>
      </c>
      <c r="V410" s="181">
        <f t="shared" si="91"/>
        <v>0</v>
      </c>
    </row>
    <row r="411" spans="2:22">
      <c r="B411" s="334" t="s">
        <v>24</v>
      </c>
      <c r="C411" s="32"/>
      <c r="D411" s="16" t="s">
        <v>22</v>
      </c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</row>
    <row r="412" spans="2:22">
      <c r="B412" s="334" t="s">
        <v>37</v>
      </c>
      <c r="C412" s="32"/>
      <c r="D412" s="16" t="s">
        <v>22</v>
      </c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</row>
    <row r="413" spans="2:22">
      <c r="B413" s="334" t="s">
        <v>143</v>
      </c>
      <c r="C413" s="32"/>
      <c r="D413" s="16" t="s">
        <v>22</v>
      </c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</row>
    <row r="414" spans="2:22">
      <c r="B414" s="334" t="s">
        <v>144</v>
      </c>
      <c r="C414" s="32"/>
      <c r="D414" s="16" t="s">
        <v>22</v>
      </c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</row>
    <row r="415" spans="2:22">
      <c r="B415" s="334" t="s">
        <v>172</v>
      </c>
      <c r="C415" s="32"/>
      <c r="D415" s="16" t="s">
        <v>22</v>
      </c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</row>
    <row r="416" spans="2:22">
      <c r="B416" s="334" t="s">
        <v>174</v>
      </c>
      <c r="C416" s="32"/>
      <c r="D416" s="16" t="s">
        <v>22</v>
      </c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</row>
    <row r="417" spans="2:22">
      <c r="B417" s="458" t="s">
        <v>196</v>
      </c>
      <c r="C417" s="164" t="s">
        <v>302</v>
      </c>
      <c r="D417" s="16" t="s">
        <v>22</v>
      </c>
      <c r="E417" s="181">
        <f>SUM(E418:E420)</f>
        <v>0</v>
      </c>
      <c r="F417" s="181">
        <f t="shared" ref="F417:V417" si="92">SUM(F418:F420)</f>
        <v>0</v>
      </c>
      <c r="G417" s="181">
        <f t="shared" si="92"/>
        <v>0</v>
      </c>
      <c r="H417" s="181">
        <f t="shared" si="92"/>
        <v>0</v>
      </c>
      <c r="I417" s="181">
        <f t="shared" si="92"/>
        <v>0</v>
      </c>
      <c r="J417" s="181">
        <f t="shared" si="92"/>
        <v>0</v>
      </c>
      <c r="K417" s="181">
        <f t="shared" si="92"/>
        <v>0</v>
      </c>
      <c r="L417" s="181">
        <f t="shared" si="92"/>
        <v>0</v>
      </c>
      <c r="M417" s="181">
        <f t="shared" si="92"/>
        <v>0</v>
      </c>
      <c r="N417" s="181">
        <f t="shared" si="92"/>
        <v>0</v>
      </c>
      <c r="O417" s="181">
        <f t="shared" si="92"/>
        <v>0</v>
      </c>
      <c r="P417" s="181">
        <f t="shared" si="92"/>
        <v>0</v>
      </c>
      <c r="Q417" s="181">
        <f t="shared" si="92"/>
        <v>0</v>
      </c>
      <c r="R417" s="181">
        <f t="shared" si="92"/>
        <v>0</v>
      </c>
      <c r="S417" s="181">
        <f t="shared" si="92"/>
        <v>0</v>
      </c>
      <c r="T417" s="181">
        <f t="shared" si="92"/>
        <v>0</v>
      </c>
      <c r="U417" s="181">
        <f t="shared" si="92"/>
        <v>0</v>
      </c>
      <c r="V417" s="181">
        <f t="shared" si="92"/>
        <v>0</v>
      </c>
    </row>
    <row r="418" spans="2:22">
      <c r="B418" s="425" t="s">
        <v>198</v>
      </c>
      <c r="C418" s="32"/>
      <c r="D418" s="16" t="s">
        <v>22</v>
      </c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</row>
    <row r="419" spans="2:22">
      <c r="B419" s="425" t="s">
        <v>202</v>
      </c>
      <c r="C419" s="32"/>
      <c r="D419" s="16" t="s">
        <v>22</v>
      </c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</row>
    <row r="420" spans="2:22">
      <c r="B420" s="425" t="s">
        <v>206</v>
      </c>
      <c r="C420" s="32"/>
      <c r="D420" s="16" t="s">
        <v>22</v>
      </c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</row>
    <row r="421" spans="2:22">
      <c r="B421" s="458" t="s">
        <v>579</v>
      </c>
      <c r="C421" s="164" t="s">
        <v>304</v>
      </c>
      <c r="D421" s="16" t="s">
        <v>22</v>
      </c>
      <c r="E421" s="181">
        <f>SUM(E422:E425)</f>
        <v>0</v>
      </c>
      <c r="F421" s="181">
        <f t="shared" ref="F421:V421" si="93">SUM(F422:F425)</f>
        <v>0</v>
      </c>
      <c r="G421" s="181">
        <f t="shared" si="93"/>
        <v>0</v>
      </c>
      <c r="H421" s="181">
        <f t="shared" si="93"/>
        <v>0</v>
      </c>
      <c r="I421" s="181">
        <f t="shared" si="93"/>
        <v>0</v>
      </c>
      <c r="J421" s="181">
        <f t="shared" si="93"/>
        <v>0</v>
      </c>
      <c r="K421" s="181">
        <f t="shared" si="93"/>
        <v>0</v>
      </c>
      <c r="L421" s="181">
        <f t="shared" si="93"/>
        <v>0</v>
      </c>
      <c r="M421" s="181">
        <f t="shared" si="93"/>
        <v>0</v>
      </c>
      <c r="N421" s="181">
        <f t="shared" si="93"/>
        <v>0</v>
      </c>
      <c r="O421" s="181">
        <f t="shared" si="93"/>
        <v>0</v>
      </c>
      <c r="P421" s="181">
        <f t="shared" si="93"/>
        <v>0</v>
      </c>
      <c r="Q421" s="181">
        <f t="shared" si="93"/>
        <v>0</v>
      </c>
      <c r="R421" s="181">
        <f t="shared" si="93"/>
        <v>0</v>
      </c>
      <c r="S421" s="181">
        <f t="shared" si="93"/>
        <v>0</v>
      </c>
      <c r="T421" s="181">
        <f t="shared" si="93"/>
        <v>0</v>
      </c>
      <c r="U421" s="181">
        <f t="shared" si="93"/>
        <v>0</v>
      </c>
      <c r="V421" s="181">
        <f t="shared" si="93"/>
        <v>0</v>
      </c>
    </row>
    <row r="422" spans="2:22">
      <c r="B422" s="469" t="s">
        <v>226</v>
      </c>
      <c r="C422" s="32"/>
      <c r="D422" s="16" t="s">
        <v>22</v>
      </c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</row>
    <row r="423" spans="2:22">
      <c r="B423" s="469" t="s">
        <v>244</v>
      </c>
      <c r="C423" s="32"/>
      <c r="D423" s="16" t="s">
        <v>22</v>
      </c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</row>
    <row r="424" spans="2:22">
      <c r="B424" s="469" t="s">
        <v>263</v>
      </c>
      <c r="C424" s="32"/>
      <c r="D424" s="16" t="s">
        <v>22</v>
      </c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</row>
    <row r="425" spans="2:22">
      <c r="B425" s="469" t="s">
        <v>264</v>
      </c>
      <c r="C425" s="32"/>
      <c r="D425" s="16" t="s">
        <v>22</v>
      </c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</row>
    <row r="426" spans="2:22">
      <c r="B426" s="470" t="s">
        <v>582</v>
      </c>
      <c r="C426" s="164" t="s">
        <v>534</v>
      </c>
      <c r="D426" s="16" t="s">
        <v>22</v>
      </c>
      <c r="E426" s="181">
        <f>SUM(E427:E431)</f>
        <v>0</v>
      </c>
      <c r="F426" s="181">
        <f t="shared" ref="F426:V426" si="94">SUM(F427:F431)</f>
        <v>0</v>
      </c>
      <c r="G426" s="181">
        <f t="shared" si="94"/>
        <v>0</v>
      </c>
      <c r="H426" s="181">
        <f t="shared" si="94"/>
        <v>0</v>
      </c>
      <c r="I426" s="181">
        <f t="shared" si="94"/>
        <v>0</v>
      </c>
      <c r="J426" s="181">
        <f t="shared" si="94"/>
        <v>0</v>
      </c>
      <c r="K426" s="181">
        <f t="shared" si="94"/>
        <v>0</v>
      </c>
      <c r="L426" s="181">
        <f t="shared" si="94"/>
        <v>0</v>
      </c>
      <c r="M426" s="181">
        <f t="shared" si="94"/>
        <v>0</v>
      </c>
      <c r="N426" s="181">
        <f t="shared" si="94"/>
        <v>0</v>
      </c>
      <c r="O426" s="181">
        <f t="shared" si="94"/>
        <v>0</v>
      </c>
      <c r="P426" s="181">
        <f t="shared" si="94"/>
        <v>0</v>
      </c>
      <c r="Q426" s="181">
        <f t="shared" si="94"/>
        <v>0</v>
      </c>
      <c r="R426" s="181">
        <f t="shared" si="94"/>
        <v>0</v>
      </c>
      <c r="S426" s="181">
        <f t="shared" si="94"/>
        <v>0</v>
      </c>
      <c r="T426" s="181">
        <f t="shared" si="94"/>
        <v>0</v>
      </c>
      <c r="U426" s="181">
        <f t="shared" si="94"/>
        <v>0</v>
      </c>
      <c r="V426" s="181">
        <f t="shared" si="94"/>
        <v>0</v>
      </c>
    </row>
    <row r="427" spans="2:22">
      <c r="B427" s="428" t="s">
        <v>286</v>
      </c>
      <c r="C427" s="32"/>
      <c r="D427" s="16" t="s">
        <v>22</v>
      </c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</row>
    <row r="428" spans="2:22">
      <c r="B428" s="428" t="s">
        <v>1014</v>
      </c>
      <c r="C428" s="32"/>
      <c r="D428" s="16" t="s">
        <v>22</v>
      </c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</row>
    <row r="429" spans="2:22">
      <c r="B429" s="428" t="s">
        <v>1016</v>
      </c>
      <c r="C429" s="32"/>
      <c r="D429" s="16" t="s">
        <v>22</v>
      </c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</row>
    <row r="430" spans="2:22">
      <c r="B430" s="428" t="s">
        <v>1017</v>
      </c>
      <c r="C430" s="32"/>
      <c r="D430" s="16" t="s">
        <v>22</v>
      </c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</row>
    <row r="431" spans="2:22">
      <c r="B431" s="428" t="s">
        <v>1019</v>
      </c>
      <c r="C431" s="32"/>
      <c r="D431" s="16" t="s">
        <v>22</v>
      </c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</row>
    <row r="432" spans="2:22">
      <c r="B432" s="441"/>
      <c r="C432" s="295" t="s">
        <v>1059</v>
      </c>
      <c r="D432" s="416" t="s">
        <v>22</v>
      </c>
      <c r="E432" s="297">
        <f>E410+E417+E421+E426</f>
        <v>0</v>
      </c>
      <c r="F432" s="297">
        <f t="shared" ref="F432:V432" si="95">F410+F417+F421+F426</f>
        <v>0</v>
      </c>
      <c r="G432" s="297">
        <f t="shared" si="95"/>
        <v>0</v>
      </c>
      <c r="H432" s="297">
        <f t="shared" si="95"/>
        <v>0</v>
      </c>
      <c r="I432" s="297">
        <f t="shared" si="95"/>
        <v>0</v>
      </c>
      <c r="J432" s="297">
        <f t="shared" si="95"/>
        <v>0</v>
      </c>
      <c r="K432" s="297">
        <f t="shared" si="95"/>
        <v>0</v>
      </c>
      <c r="L432" s="297">
        <f t="shared" si="95"/>
        <v>0</v>
      </c>
      <c r="M432" s="297">
        <f t="shared" si="95"/>
        <v>0</v>
      </c>
      <c r="N432" s="297">
        <f t="shared" si="95"/>
        <v>0</v>
      </c>
      <c r="O432" s="297">
        <f t="shared" si="95"/>
        <v>0</v>
      </c>
      <c r="P432" s="297">
        <f t="shared" si="95"/>
        <v>0</v>
      </c>
      <c r="Q432" s="297">
        <f t="shared" si="95"/>
        <v>0</v>
      </c>
      <c r="R432" s="297">
        <f t="shared" si="95"/>
        <v>0</v>
      </c>
      <c r="S432" s="297">
        <f t="shared" si="95"/>
        <v>0</v>
      </c>
      <c r="T432" s="297">
        <f t="shared" si="95"/>
        <v>0</v>
      </c>
      <c r="U432" s="297">
        <f t="shared" si="95"/>
        <v>0</v>
      </c>
      <c r="V432" s="297">
        <f t="shared" si="95"/>
        <v>0</v>
      </c>
    </row>
    <row r="435" spans="2:22" ht="15.75">
      <c r="B435" s="419" t="s">
        <v>1060</v>
      </c>
    </row>
    <row r="436" spans="2:22" s="332" customFormat="1" ht="15" customHeight="1">
      <c r="B436" s="1597" t="s">
        <v>539</v>
      </c>
      <c r="C436" s="1598" t="s">
        <v>540</v>
      </c>
      <c r="D436" s="1599" t="s">
        <v>541</v>
      </c>
      <c r="E436" s="1596" t="s">
        <v>4</v>
      </c>
      <c r="F436" s="1596"/>
      <c r="G436" s="1596" t="s">
        <v>5</v>
      </c>
      <c r="H436" s="1596"/>
      <c r="I436" s="1596" t="s">
        <v>6</v>
      </c>
      <c r="J436" s="1596"/>
      <c r="K436" s="1596" t="s">
        <v>7</v>
      </c>
      <c r="L436" s="1596"/>
      <c r="M436" s="1596" t="s">
        <v>8</v>
      </c>
      <c r="N436" s="1596"/>
      <c r="O436" s="1596" t="s">
        <v>1393</v>
      </c>
      <c r="P436" s="1596"/>
      <c r="Q436" s="1596" t="s">
        <v>10</v>
      </c>
      <c r="R436" s="1596"/>
      <c r="S436" s="1596" t="s">
        <v>11</v>
      </c>
      <c r="T436" s="1596"/>
      <c r="U436" s="1596" t="s">
        <v>12</v>
      </c>
      <c r="V436" s="1596"/>
    </row>
    <row r="437" spans="2:22" s="332" customFormat="1" ht="46.35" customHeight="1">
      <c r="B437" s="1597"/>
      <c r="C437" s="1598"/>
      <c r="D437" s="1599"/>
      <c r="E437" s="149" t="s">
        <v>13</v>
      </c>
      <c r="F437" s="150" t="s">
        <v>14</v>
      </c>
      <c r="G437" s="149" t="s">
        <v>13</v>
      </c>
      <c r="H437" s="150" t="s">
        <v>14</v>
      </c>
      <c r="I437" s="149" t="s">
        <v>13</v>
      </c>
      <c r="J437" s="150" t="s">
        <v>14</v>
      </c>
      <c r="K437" s="149" t="s">
        <v>13</v>
      </c>
      <c r="L437" s="150" t="s">
        <v>14</v>
      </c>
      <c r="M437" s="149" t="s">
        <v>16</v>
      </c>
      <c r="N437" s="150" t="s">
        <v>17</v>
      </c>
      <c r="O437" s="149" t="s">
        <v>16</v>
      </c>
      <c r="P437" s="150" t="s">
        <v>17</v>
      </c>
      <c r="Q437" s="149" t="s">
        <v>16</v>
      </c>
      <c r="R437" s="150" t="s">
        <v>17</v>
      </c>
      <c r="S437" s="149" t="s">
        <v>16</v>
      </c>
      <c r="T437" s="150" t="s">
        <v>17</v>
      </c>
      <c r="U437" s="149" t="s">
        <v>16</v>
      </c>
      <c r="V437" s="150" t="s">
        <v>17</v>
      </c>
    </row>
    <row r="438" spans="2:22" s="332" customFormat="1">
      <c r="B438" s="155">
        <v>1</v>
      </c>
      <c r="C438" s="155">
        <v>2</v>
      </c>
      <c r="D438" s="155">
        <v>3</v>
      </c>
      <c r="E438" s="155">
        <v>4</v>
      </c>
      <c r="F438" s="155">
        <v>5</v>
      </c>
      <c r="G438" s="155">
        <v>6</v>
      </c>
      <c r="H438" s="155">
        <v>7</v>
      </c>
      <c r="I438" s="155">
        <v>8</v>
      </c>
      <c r="J438" s="155">
        <v>9</v>
      </c>
      <c r="K438" s="155">
        <v>10</v>
      </c>
      <c r="L438" s="155">
        <v>11</v>
      </c>
      <c r="M438" s="155">
        <v>12</v>
      </c>
      <c r="N438" s="155">
        <v>13</v>
      </c>
      <c r="O438" s="155">
        <v>14</v>
      </c>
      <c r="P438" s="155">
        <v>15</v>
      </c>
      <c r="Q438" s="155">
        <v>16</v>
      </c>
      <c r="R438" s="155">
        <v>17</v>
      </c>
      <c r="S438" s="155">
        <v>18</v>
      </c>
      <c r="T438" s="155">
        <v>19</v>
      </c>
      <c r="U438" s="155">
        <v>20</v>
      </c>
      <c r="V438" s="155">
        <v>21</v>
      </c>
    </row>
    <row r="439" spans="2:22" ht="21">
      <c r="B439" s="458" t="s">
        <v>24</v>
      </c>
      <c r="C439" s="164" t="s">
        <v>313</v>
      </c>
      <c r="D439" s="16" t="s">
        <v>22</v>
      </c>
      <c r="E439" s="181">
        <v>10000</v>
      </c>
      <c r="F439" s="181">
        <v>13478.66</v>
      </c>
      <c r="G439" s="181">
        <v>15722</v>
      </c>
      <c r="H439" s="181">
        <v>14746.82</v>
      </c>
      <c r="I439" s="181">
        <v>74711.100000000006</v>
      </c>
      <c r="J439" s="181">
        <f>[7]налоги!C225/1000</f>
        <v>59025.022199999999</v>
      </c>
      <c r="K439" s="181">
        <v>74711.100000000006</v>
      </c>
      <c r="L439" s="181">
        <v>60309.309000000001</v>
      </c>
      <c r="M439" s="181">
        <f>'К ВО'!S189</f>
        <v>116657.019</v>
      </c>
      <c r="N439" s="181">
        <f>'К ВО'!Q189</f>
        <v>33599.184000000001</v>
      </c>
      <c r="O439" s="181">
        <f>'К ВО'!V189</f>
        <v>151283.54949560264</v>
      </c>
      <c r="P439" s="181">
        <f>'К ВО'!U189</f>
        <v>33599.184000000001</v>
      </c>
      <c r="Q439" s="181">
        <f>O439</f>
        <v>151283.54949560264</v>
      </c>
      <c r="R439" s="181">
        <f>'налог на имущество уточ. июль19'!L20/1000</f>
        <v>151061.06626540003</v>
      </c>
      <c r="S439" s="181">
        <f>Q439</f>
        <v>151283.54949560264</v>
      </c>
      <c r="T439" s="181"/>
      <c r="U439" s="181">
        <f>S439</f>
        <v>151283.54949560264</v>
      </c>
      <c r="V439" s="181"/>
    </row>
    <row r="440" spans="2:22" ht="31.5">
      <c r="B440" s="458" t="s">
        <v>37</v>
      </c>
      <c r="C440" s="164" t="s">
        <v>315</v>
      </c>
      <c r="D440" s="16" t="s">
        <v>22</v>
      </c>
      <c r="E440" s="181">
        <v>1475.41</v>
      </c>
      <c r="F440" s="181">
        <v>1028.56</v>
      </c>
      <c r="G440" s="181"/>
      <c r="H440" s="181"/>
      <c r="I440" s="181"/>
      <c r="J440" s="181">
        <v>0.4</v>
      </c>
      <c r="K440" s="181">
        <v>58</v>
      </c>
      <c r="L440" s="181">
        <v>51.79</v>
      </c>
      <c r="M440" s="181">
        <f>'К ВО'!S190</f>
        <v>39.317999999999998</v>
      </c>
      <c r="N440" s="181">
        <f>'К ВО'!Q190</f>
        <v>86.34</v>
      </c>
      <c r="O440" s="181">
        <f>'К ВО'!V190</f>
        <v>86.34</v>
      </c>
      <c r="P440" s="181">
        <f>'К ВО'!U190</f>
        <v>86.34</v>
      </c>
      <c r="Q440" s="181">
        <f>P440</f>
        <v>86.34</v>
      </c>
      <c r="R440" s="181">
        <f>Q440</f>
        <v>86.34</v>
      </c>
      <c r="S440" s="181">
        <f>P440</f>
        <v>86.34</v>
      </c>
      <c r="T440" s="181"/>
      <c r="U440" s="181">
        <f>S440</f>
        <v>86.34</v>
      </c>
      <c r="V440" s="181"/>
    </row>
    <row r="441" spans="2:22" ht="31.5">
      <c r="B441" s="458" t="s">
        <v>143</v>
      </c>
      <c r="C441" s="164" t="s">
        <v>1132</v>
      </c>
      <c r="D441" s="16" t="s">
        <v>22</v>
      </c>
      <c r="E441" s="181">
        <f>SUM(E442:E443)</f>
        <v>0</v>
      </c>
      <c r="F441" s="181">
        <f t="shared" ref="F441:V441" si="96">SUM(F442:F443)</f>
        <v>0</v>
      </c>
      <c r="G441" s="181">
        <f t="shared" si="96"/>
        <v>0</v>
      </c>
      <c r="H441" s="181">
        <f t="shared" si="96"/>
        <v>0</v>
      </c>
      <c r="I441" s="181">
        <f t="shared" si="96"/>
        <v>0</v>
      </c>
      <c r="J441" s="181">
        <f t="shared" si="96"/>
        <v>0</v>
      </c>
      <c r="K441" s="181">
        <f t="shared" si="96"/>
        <v>0</v>
      </c>
      <c r="L441" s="181">
        <f t="shared" si="96"/>
        <v>0</v>
      </c>
      <c r="M441" s="181">
        <f t="shared" si="96"/>
        <v>0</v>
      </c>
      <c r="N441" s="181">
        <f t="shared" si="96"/>
        <v>0</v>
      </c>
      <c r="O441" s="181">
        <f t="shared" si="96"/>
        <v>0</v>
      </c>
      <c r="P441" s="181">
        <f t="shared" si="96"/>
        <v>0</v>
      </c>
      <c r="Q441" s="181">
        <f t="shared" si="96"/>
        <v>0</v>
      </c>
      <c r="R441" s="181">
        <f t="shared" si="96"/>
        <v>0</v>
      </c>
      <c r="S441" s="181">
        <f t="shared" si="96"/>
        <v>0</v>
      </c>
      <c r="T441" s="181">
        <f t="shared" si="96"/>
        <v>0</v>
      </c>
      <c r="U441" s="181">
        <f t="shared" si="96"/>
        <v>0</v>
      </c>
      <c r="V441" s="181">
        <f t="shared" si="96"/>
        <v>0</v>
      </c>
    </row>
    <row r="442" spans="2:22" ht="21">
      <c r="B442" s="334" t="s">
        <v>564</v>
      </c>
      <c r="C442" s="32" t="s">
        <v>1062</v>
      </c>
      <c r="D442" s="16" t="s">
        <v>22</v>
      </c>
      <c r="E442" s="167">
        <v>0</v>
      </c>
      <c r="F442" s="167">
        <v>0</v>
      </c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</row>
    <row r="443" spans="2:22" ht="21">
      <c r="B443" s="334" t="s">
        <v>566</v>
      </c>
      <c r="C443" s="32" t="s">
        <v>1063</v>
      </c>
      <c r="D443" s="16" t="s">
        <v>22</v>
      </c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</row>
    <row r="444" spans="2:22">
      <c r="B444" s="458" t="s">
        <v>144</v>
      </c>
      <c r="C444" s="164" t="s">
        <v>1133</v>
      </c>
      <c r="D444" s="16" t="s">
        <v>22</v>
      </c>
      <c r="E444" s="181">
        <v>5326.36</v>
      </c>
      <c r="F444" s="181">
        <v>5437.14</v>
      </c>
      <c r="G444" s="181">
        <v>5326</v>
      </c>
      <c r="H444" s="181">
        <v>1306.5</v>
      </c>
      <c r="I444" s="181">
        <v>6429.08</v>
      </c>
      <c r="J444" s="181">
        <f>[7]налоги!C229/1000</f>
        <v>486.75519000000003</v>
      </c>
      <c r="K444" s="181">
        <v>1306.5</v>
      </c>
      <c r="L444" s="181">
        <v>689.2</v>
      </c>
      <c r="M444" s="181">
        <f>'К ВО'!S192</f>
        <v>104.75700000000001</v>
      </c>
      <c r="N444" s="181">
        <f>'К ВО'!Q192</f>
        <v>486.75519000000003</v>
      </c>
      <c r="O444" s="181">
        <f>'К ВО'!V192</f>
        <v>109.99485000000001</v>
      </c>
      <c r="P444" s="181">
        <f>'К ВО'!U192</f>
        <v>486.75519000000003</v>
      </c>
      <c r="Q444" s="181">
        <f>O444</f>
        <v>109.99485000000001</v>
      </c>
      <c r="R444" s="181">
        <f>Q444</f>
        <v>109.99485000000001</v>
      </c>
      <c r="S444" s="181">
        <f>Q444</f>
        <v>109.99485000000001</v>
      </c>
      <c r="T444" s="181"/>
      <c r="U444" s="181">
        <f>S444</f>
        <v>109.99485000000001</v>
      </c>
      <c r="V444" s="181"/>
    </row>
    <row r="445" spans="2:22">
      <c r="B445" s="458" t="s">
        <v>172</v>
      </c>
      <c r="C445" s="164" t="s">
        <v>321</v>
      </c>
      <c r="D445" s="16" t="s">
        <v>22</v>
      </c>
      <c r="E445" s="181">
        <f t="shared" ref="E445:V445" si="97">SUM(E446:E446)</f>
        <v>217</v>
      </c>
      <c r="F445" s="181">
        <f t="shared" si="97"/>
        <v>382.67</v>
      </c>
      <c r="G445" s="181">
        <f t="shared" si="97"/>
        <v>315.08999999999997</v>
      </c>
      <c r="H445" s="181">
        <f t="shared" si="97"/>
        <v>319.14999999999998</v>
      </c>
      <c r="I445" s="181">
        <f t="shared" si="97"/>
        <v>318.24</v>
      </c>
      <c r="J445" s="181">
        <f t="shared" si="97"/>
        <v>233.08292</v>
      </c>
      <c r="K445" s="181">
        <f t="shared" si="97"/>
        <v>319.14999999999998</v>
      </c>
      <c r="L445" s="181">
        <v>361.32</v>
      </c>
      <c r="M445" s="181">
        <f>'К ВО'!S193</f>
        <v>373.16899999999998</v>
      </c>
      <c r="N445" s="181">
        <f>'К ВО'!Q193</f>
        <v>256.97391930000003</v>
      </c>
      <c r="O445" s="181">
        <f>'К ВО'!V193</f>
        <v>373.16899999999998</v>
      </c>
      <c r="P445" s="181">
        <f t="shared" si="97"/>
        <v>256.97391930000003</v>
      </c>
      <c r="Q445" s="181">
        <f>O445</f>
        <v>373.16899999999998</v>
      </c>
      <c r="R445" s="181">
        <f t="shared" si="97"/>
        <v>361.32</v>
      </c>
      <c r="S445" s="181">
        <f>Q445</f>
        <v>373.16899999999998</v>
      </c>
      <c r="T445" s="181">
        <f t="shared" si="97"/>
        <v>0</v>
      </c>
      <c r="U445" s="181">
        <f>S445</f>
        <v>373.16899999999998</v>
      </c>
      <c r="V445" s="181">
        <f t="shared" si="97"/>
        <v>0</v>
      </c>
    </row>
    <row r="446" spans="2:22">
      <c r="B446" s="334" t="s">
        <v>906</v>
      </c>
      <c r="C446" s="32" t="s">
        <v>1134</v>
      </c>
      <c r="D446" s="16" t="s">
        <v>22</v>
      </c>
      <c r="E446" s="167">
        <v>217</v>
      </c>
      <c r="F446" s="167">
        <v>382.67</v>
      </c>
      <c r="G446" s="167">
        <v>315.08999999999997</v>
      </c>
      <c r="H446" s="167">
        <v>319.14999999999998</v>
      </c>
      <c r="I446" s="167">
        <v>318.24</v>
      </c>
      <c r="J446" s="167">
        <f>[7]налоги!C230/1000</f>
        <v>233.08292</v>
      </c>
      <c r="K446" s="167">
        <v>319.14999999999998</v>
      </c>
      <c r="L446" s="167">
        <v>361.32</v>
      </c>
      <c r="M446" s="167">
        <v>361.32</v>
      </c>
      <c r="N446" s="167"/>
      <c r="O446" s="167">
        <v>361.32</v>
      </c>
      <c r="P446" s="167">
        <f>'К ВО'!U193</f>
        <v>256.97391930000003</v>
      </c>
      <c r="Q446" s="167">
        <v>361.32</v>
      </c>
      <c r="R446" s="167">
        <f>Q446</f>
        <v>361.32</v>
      </c>
      <c r="S446" s="167">
        <v>361.32</v>
      </c>
      <c r="T446" s="167"/>
      <c r="U446" s="167">
        <v>361.32</v>
      </c>
      <c r="V446" s="167"/>
    </row>
    <row r="447" spans="2:22" ht="63">
      <c r="B447" s="458" t="s">
        <v>174</v>
      </c>
      <c r="C447" s="164" t="s">
        <v>1068</v>
      </c>
      <c r="D447" s="16" t="s">
        <v>22</v>
      </c>
      <c r="E447" s="181">
        <f>SUM(E448:E451)</f>
        <v>0</v>
      </c>
      <c r="F447" s="181">
        <f t="shared" ref="F447:V447" si="98">SUM(F448:F451)</f>
        <v>0</v>
      </c>
      <c r="G447" s="181">
        <f t="shared" si="98"/>
        <v>0</v>
      </c>
      <c r="H447" s="181">
        <f t="shared" si="98"/>
        <v>0</v>
      </c>
      <c r="I447" s="181">
        <f t="shared" si="98"/>
        <v>0</v>
      </c>
      <c r="J447" s="181">
        <f t="shared" si="98"/>
        <v>0</v>
      </c>
      <c r="K447" s="181">
        <f t="shared" si="98"/>
        <v>0</v>
      </c>
      <c r="L447" s="181">
        <f t="shared" si="98"/>
        <v>0</v>
      </c>
      <c r="M447" s="181">
        <f t="shared" si="98"/>
        <v>0</v>
      </c>
      <c r="N447" s="181">
        <f>'К ВО'!Q188</f>
        <v>324.0531840000001</v>
      </c>
      <c r="O447" s="181">
        <f t="shared" si="98"/>
        <v>0</v>
      </c>
      <c r="P447" s="181">
        <f>'К ВО'!U188</f>
        <v>324.0531840000001</v>
      </c>
      <c r="Q447" s="181">
        <f t="shared" si="98"/>
        <v>0</v>
      </c>
      <c r="R447" s="181">
        <f t="shared" si="98"/>
        <v>0</v>
      </c>
      <c r="S447" s="181">
        <f t="shared" si="98"/>
        <v>0</v>
      </c>
      <c r="T447" s="181">
        <f t="shared" si="98"/>
        <v>0</v>
      </c>
      <c r="U447" s="181">
        <f t="shared" si="98"/>
        <v>0</v>
      </c>
      <c r="V447" s="181">
        <f t="shared" si="98"/>
        <v>0</v>
      </c>
    </row>
    <row r="448" spans="2:22" hidden="1">
      <c r="B448" s="334" t="s">
        <v>909</v>
      </c>
      <c r="C448" s="32"/>
      <c r="D448" s="16" t="s">
        <v>22</v>
      </c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</row>
    <row r="449" spans="2:22" hidden="1">
      <c r="B449" s="334" t="s">
        <v>1070</v>
      </c>
      <c r="C449" s="32"/>
      <c r="D449" s="16" t="s">
        <v>22</v>
      </c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</row>
    <row r="450" spans="2:22" hidden="1">
      <c r="B450" s="334" t="s">
        <v>1071</v>
      </c>
      <c r="C450" s="32"/>
      <c r="D450" s="16" t="s">
        <v>22</v>
      </c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</row>
    <row r="451" spans="2:22" hidden="1">
      <c r="B451" s="334" t="s">
        <v>1072</v>
      </c>
      <c r="C451" s="32"/>
      <c r="D451" s="16" t="s">
        <v>22</v>
      </c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</row>
    <row r="452" spans="2:22">
      <c r="B452" s="428"/>
      <c r="C452" s="295" t="s">
        <v>1059</v>
      </c>
      <c r="D452" s="416" t="s">
        <v>22</v>
      </c>
      <c r="E452" s="297">
        <f>E439+E440+E441+E444+E445+E447</f>
        <v>17018.77</v>
      </c>
      <c r="F452" s="297">
        <f>F439+F440+F441+F444+F445+F447</f>
        <v>20327.03</v>
      </c>
      <c r="G452" s="297">
        <f>G439+G440+G441+G444+G445+G447</f>
        <v>21363.09</v>
      </c>
      <c r="H452" s="297">
        <f>H439+H440+H441+H444+H445+H447</f>
        <v>16372.47</v>
      </c>
      <c r="I452" s="297">
        <f>I439+I440+I441+I444+I445+I447</f>
        <v>81458.420000000013</v>
      </c>
      <c r="J452" s="297">
        <f t="shared" ref="J452:U452" si="99">J439+J440+J441+J444+J445+J447</f>
        <v>59745.260310000005</v>
      </c>
      <c r="K452" s="297">
        <f t="shared" si="99"/>
        <v>76394.75</v>
      </c>
      <c r="L452" s="297">
        <f t="shared" si="99"/>
        <v>61411.618999999999</v>
      </c>
      <c r="M452" s="297">
        <f t="shared" si="99"/>
        <v>117174.26299999999</v>
      </c>
      <c r="N452" s="297">
        <f t="shared" si="99"/>
        <v>34753.306293299996</v>
      </c>
      <c r="O452" s="297">
        <f t="shared" si="99"/>
        <v>151853.05334560262</v>
      </c>
      <c r="P452" s="297">
        <f t="shared" si="99"/>
        <v>34753.306293299996</v>
      </c>
      <c r="Q452" s="297">
        <f t="shared" si="99"/>
        <v>151853.05334560262</v>
      </c>
      <c r="R452" s="297">
        <f t="shared" si="99"/>
        <v>151618.72111540003</v>
      </c>
      <c r="S452" s="297">
        <f t="shared" si="99"/>
        <v>151853.05334560262</v>
      </c>
      <c r="T452" s="297">
        <f t="shared" si="99"/>
        <v>0</v>
      </c>
      <c r="U452" s="297">
        <f t="shared" si="99"/>
        <v>151853.05334560262</v>
      </c>
      <c r="V452" s="297">
        <f>V439+V440+V441+V444+V445+V447</f>
        <v>0</v>
      </c>
    </row>
    <row r="453" spans="2:22"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</row>
    <row r="454" spans="2:22" ht="15.75">
      <c r="B454" s="419" t="s">
        <v>1073</v>
      </c>
    </row>
    <row r="455" spans="2:22" s="332" customFormat="1" ht="15" customHeight="1">
      <c r="B455" s="1597" t="s">
        <v>539</v>
      </c>
      <c r="C455" s="1598" t="s">
        <v>540</v>
      </c>
      <c r="D455" s="1599" t="s">
        <v>541</v>
      </c>
      <c r="E455" s="1596" t="s">
        <v>4</v>
      </c>
      <c r="F455" s="1596"/>
      <c r="G455" s="1596" t="s">
        <v>5</v>
      </c>
      <c r="H455" s="1596"/>
      <c r="I455" s="1596" t="s">
        <v>6</v>
      </c>
      <c r="J455" s="1596"/>
      <c r="K455" s="1596" t="s">
        <v>7</v>
      </c>
      <c r="L455" s="1596"/>
      <c r="M455" s="1596" t="s">
        <v>8</v>
      </c>
      <c r="N455" s="1596"/>
      <c r="O455" s="1596" t="s">
        <v>9</v>
      </c>
      <c r="P455" s="1596"/>
      <c r="Q455" s="1596" t="s">
        <v>10</v>
      </c>
      <c r="R455" s="1596"/>
      <c r="S455" s="1596" t="s">
        <v>11</v>
      </c>
      <c r="T455" s="1596"/>
      <c r="U455" s="1596" t="s">
        <v>12</v>
      </c>
      <c r="V455" s="1596"/>
    </row>
    <row r="456" spans="2:22" s="332" customFormat="1" ht="46.35" customHeight="1">
      <c r="B456" s="1597"/>
      <c r="C456" s="1598"/>
      <c r="D456" s="1599"/>
      <c r="E456" s="149" t="s">
        <v>13</v>
      </c>
      <c r="F456" s="150" t="s">
        <v>14</v>
      </c>
      <c r="G456" s="149" t="s">
        <v>13</v>
      </c>
      <c r="H456" s="150" t="s">
        <v>14</v>
      </c>
      <c r="I456" s="149" t="s">
        <v>13</v>
      </c>
      <c r="J456" s="150" t="s">
        <v>14</v>
      </c>
      <c r="K456" s="149" t="s">
        <v>13</v>
      </c>
      <c r="L456" s="150" t="s">
        <v>14</v>
      </c>
      <c r="M456" s="149" t="s">
        <v>16</v>
      </c>
      <c r="N456" s="150" t="s">
        <v>17</v>
      </c>
      <c r="O456" s="149" t="s">
        <v>16</v>
      </c>
      <c r="P456" s="150" t="s">
        <v>17</v>
      </c>
      <c r="Q456" s="149" t="s">
        <v>16</v>
      </c>
      <c r="R456" s="150" t="s">
        <v>17</v>
      </c>
      <c r="S456" s="149" t="s">
        <v>16</v>
      </c>
      <c r="T456" s="150" t="s">
        <v>17</v>
      </c>
      <c r="U456" s="149" t="s">
        <v>16</v>
      </c>
      <c r="V456" s="150" t="s">
        <v>17</v>
      </c>
    </row>
    <row r="457" spans="2:22" s="332" customFormat="1">
      <c r="B457" s="155">
        <v>1</v>
      </c>
      <c r="C457" s="155">
        <v>2</v>
      </c>
      <c r="D457" s="155">
        <v>3</v>
      </c>
      <c r="E457" s="155">
        <v>4</v>
      </c>
      <c r="F457" s="155">
        <v>5</v>
      </c>
      <c r="G457" s="155">
        <v>6</v>
      </c>
      <c r="H457" s="155">
        <v>7</v>
      </c>
      <c r="I457" s="155">
        <v>8</v>
      </c>
      <c r="J457" s="155">
        <v>9</v>
      </c>
      <c r="K457" s="155">
        <v>10</v>
      </c>
      <c r="L457" s="155">
        <v>11</v>
      </c>
      <c r="M457" s="155">
        <v>12</v>
      </c>
      <c r="N457" s="155">
        <v>13</v>
      </c>
      <c r="O457" s="155">
        <v>14</v>
      </c>
      <c r="P457" s="155">
        <v>15</v>
      </c>
      <c r="Q457" s="155">
        <v>16</v>
      </c>
      <c r="R457" s="155">
        <v>17</v>
      </c>
      <c r="S457" s="155">
        <v>18</v>
      </c>
      <c r="T457" s="155">
        <v>19</v>
      </c>
      <c r="U457" s="155">
        <v>20</v>
      </c>
      <c r="V457" s="155">
        <v>21</v>
      </c>
    </row>
    <row r="458" spans="2:22" ht="63">
      <c r="B458" s="458" t="s">
        <v>20</v>
      </c>
      <c r="C458" s="164" t="s">
        <v>1074</v>
      </c>
      <c r="D458" s="16" t="s">
        <v>22</v>
      </c>
      <c r="E458" s="181">
        <f>SUM(E459:E463)</f>
        <v>0</v>
      </c>
      <c r="F458" s="181">
        <f t="shared" ref="F458:V458" si="100">SUM(F459:F463)</f>
        <v>0</v>
      </c>
      <c r="G458" s="181">
        <f t="shared" si="100"/>
        <v>0</v>
      </c>
      <c r="H458" s="181">
        <f t="shared" si="100"/>
        <v>0</v>
      </c>
      <c r="I458" s="181">
        <f t="shared" si="100"/>
        <v>0</v>
      </c>
      <c r="J458" s="181">
        <f t="shared" si="100"/>
        <v>0</v>
      </c>
      <c r="K458" s="181">
        <f t="shared" si="100"/>
        <v>0</v>
      </c>
      <c r="L458" s="181">
        <f t="shared" si="100"/>
        <v>0</v>
      </c>
      <c r="M458" s="181">
        <f t="shared" si="100"/>
        <v>0</v>
      </c>
      <c r="N458" s="181">
        <f t="shared" si="100"/>
        <v>0</v>
      </c>
      <c r="O458" s="181">
        <f t="shared" si="100"/>
        <v>0</v>
      </c>
      <c r="P458" s="181">
        <f t="shared" si="100"/>
        <v>0</v>
      </c>
      <c r="Q458" s="181">
        <f t="shared" si="100"/>
        <v>0</v>
      </c>
      <c r="R458" s="181">
        <f t="shared" si="100"/>
        <v>0</v>
      </c>
      <c r="S458" s="181">
        <f t="shared" si="100"/>
        <v>0</v>
      </c>
      <c r="T458" s="181">
        <f t="shared" si="100"/>
        <v>0</v>
      </c>
      <c r="U458" s="181">
        <f t="shared" si="100"/>
        <v>0</v>
      </c>
      <c r="V458" s="181">
        <f t="shared" si="100"/>
        <v>0</v>
      </c>
    </row>
    <row r="459" spans="2:22">
      <c r="B459" s="334" t="s">
        <v>24</v>
      </c>
      <c r="C459" s="32"/>
      <c r="D459" s="16" t="s">
        <v>22</v>
      </c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</row>
    <row r="460" spans="2:22">
      <c r="B460" s="334" t="s">
        <v>37</v>
      </c>
      <c r="C460" s="32"/>
      <c r="D460" s="16" t="s">
        <v>22</v>
      </c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</row>
    <row r="461" spans="2:22">
      <c r="B461" s="334" t="s">
        <v>143</v>
      </c>
      <c r="C461" s="32"/>
      <c r="D461" s="16" t="s">
        <v>22</v>
      </c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</row>
    <row r="462" spans="2:22">
      <c r="B462" s="334" t="s">
        <v>144</v>
      </c>
      <c r="C462" s="32"/>
      <c r="D462" s="16" t="s">
        <v>22</v>
      </c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</row>
    <row r="463" spans="2:22">
      <c r="B463" s="334" t="s">
        <v>172</v>
      </c>
      <c r="C463" s="32"/>
      <c r="D463" s="16" t="s">
        <v>22</v>
      </c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</row>
    <row r="464" spans="2:22" ht="31.5">
      <c r="B464" s="458" t="s">
        <v>196</v>
      </c>
      <c r="C464" s="164" t="s">
        <v>1076</v>
      </c>
      <c r="D464" s="16" t="s">
        <v>22</v>
      </c>
      <c r="E464" s="181">
        <f>SUM(E465:E469)</f>
        <v>0</v>
      </c>
      <c r="F464" s="181">
        <f t="shared" ref="F464:V464" si="101">SUM(F465:F469)</f>
        <v>38978.410000000003</v>
      </c>
      <c r="G464" s="181">
        <f t="shared" si="101"/>
        <v>0</v>
      </c>
      <c r="H464" s="181">
        <f t="shared" si="101"/>
        <v>0</v>
      </c>
      <c r="I464" s="181">
        <f t="shared" si="101"/>
        <v>0</v>
      </c>
      <c r="J464" s="181">
        <f t="shared" si="101"/>
        <v>0</v>
      </c>
      <c r="K464" s="181">
        <f t="shared" si="101"/>
        <v>0</v>
      </c>
      <c r="L464" s="181">
        <f t="shared" si="101"/>
        <v>0</v>
      </c>
      <c r="M464" s="181">
        <f t="shared" si="101"/>
        <v>333894.94</v>
      </c>
      <c r="N464" s="181">
        <f t="shared" si="101"/>
        <v>0</v>
      </c>
      <c r="O464" s="181">
        <f t="shared" si="101"/>
        <v>0</v>
      </c>
      <c r="P464" s="181">
        <f t="shared" si="101"/>
        <v>0</v>
      </c>
      <c r="Q464" s="181">
        <f t="shared" si="101"/>
        <v>0</v>
      </c>
      <c r="R464" s="181">
        <f t="shared" si="101"/>
        <v>0</v>
      </c>
      <c r="S464" s="181">
        <f t="shared" si="101"/>
        <v>0</v>
      </c>
      <c r="T464" s="181">
        <f t="shared" si="101"/>
        <v>0</v>
      </c>
      <c r="U464" s="181">
        <f t="shared" si="101"/>
        <v>0</v>
      </c>
      <c r="V464" s="181">
        <f t="shared" si="101"/>
        <v>0</v>
      </c>
    </row>
    <row r="465" spans="2:22" ht="21">
      <c r="B465" s="334" t="s">
        <v>198</v>
      </c>
      <c r="C465" s="32" t="s">
        <v>1289</v>
      </c>
      <c r="D465" s="16" t="s">
        <v>22</v>
      </c>
      <c r="E465" s="167"/>
      <c r="F465" s="167">
        <v>38978.410000000003</v>
      </c>
      <c r="G465" s="167"/>
      <c r="H465" s="167"/>
      <c r="I465" s="167"/>
      <c r="J465" s="167"/>
      <c r="K465" s="167"/>
      <c r="L465" s="167"/>
      <c r="M465" s="167">
        <v>333894.94</v>
      </c>
      <c r="N465" s="167"/>
      <c r="O465" s="167"/>
      <c r="P465" s="167"/>
      <c r="Q465" s="167"/>
      <c r="R465" s="167"/>
      <c r="S465" s="167"/>
      <c r="T465" s="167"/>
      <c r="U465" s="167"/>
      <c r="V465" s="167"/>
    </row>
    <row r="466" spans="2:22" hidden="1">
      <c r="B466" s="334" t="s">
        <v>202</v>
      </c>
      <c r="C466" s="32"/>
      <c r="D466" s="16" t="s">
        <v>22</v>
      </c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</row>
    <row r="467" spans="2:22" hidden="1">
      <c r="B467" s="334" t="s">
        <v>206</v>
      </c>
      <c r="C467" s="32"/>
      <c r="D467" s="16" t="s">
        <v>22</v>
      </c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</row>
    <row r="468" spans="2:22" hidden="1">
      <c r="B468" s="334" t="s">
        <v>572</v>
      </c>
      <c r="C468" s="32"/>
      <c r="D468" s="16" t="s">
        <v>22</v>
      </c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</row>
    <row r="469" spans="2:22" hidden="1">
      <c r="B469" s="334" t="s">
        <v>574</v>
      </c>
      <c r="C469" s="32"/>
      <c r="D469" s="16" t="s">
        <v>22</v>
      </c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</row>
    <row r="470" spans="2:22" ht="52.5">
      <c r="B470" s="458" t="s">
        <v>579</v>
      </c>
      <c r="C470" s="164" t="s">
        <v>1079</v>
      </c>
      <c r="D470" s="16" t="s">
        <v>22</v>
      </c>
      <c r="E470" s="181">
        <f>SUM(E471:E475)</f>
        <v>0</v>
      </c>
      <c r="F470" s="181">
        <f t="shared" ref="F470:V470" si="102">SUM(F471:F475)</f>
        <v>0</v>
      </c>
      <c r="G470" s="181">
        <f t="shared" si="102"/>
        <v>0</v>
      </c>
      <c r="H470" s="181">
        <f t="shared" si="102"/>
        <v>0</v>
      </c>
      <c r="I470" s="181">
        <f t="shared" si="102"/>
        <v>0</v>
      </c>
      <c r="J470" s="181">
        <f t="shared" si="102"/>
        <v>0</v>
      </c>
      <c r="K470" s="181">
        <f t="shared" si="102"/>
        <v>0</v>
      </c>
      <c r="L470" s="181">
        <f t="shared" si="102"/>
        <v>0</v>
      </c>
      <c r="M470" s="181">
        <f t="shared" si="102"/>
        <v>0</v>
      </c>
      <c r="N470" s="181">
        <f t="shared" si="102"/>
        <v>0</v>
      </c>
      <c r="O470" s="181">
        <f t="shared" si="102"/>
        <v>0</v>
      </c>
      <c r="P470" s="181">
        <f t="shared" si="102"/>
        <v>0</v>
      </c>
      <c r="Q470" s="181">
        <f t="shared" si="102"/>
        <v>0</v>
      </c>
      <c r="R470" s="181">
        <f t="shared" si="102"/>
        <v>0</v>
      </c>
      <c r="S470" s="181">
        <f t="shared" si="102"/>
        <v>0</v>
      </c>
      <c r="T470" s="181">
        <f t="shared" si="102"/>
        <v>0</v>
      </c>
      <c r="U470" s="181">
        <f t="shared" si="102"/>
        <v>0</v>
      </c>
      <c r="V470" s="181">
        <f t="shared" si="102"/>
        <v>0</v>
      </c>
    </row>
    <row r="471" spans="2:22" hidden="1">
      <c r="B471" s="334" t="s">
        <v>226</v>
      </c>
      <c r="C471" s="32"/>
      <c r="D471" s="16" t="s">
        <v>22</v>
      </c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</row>
    <row r="472" spans="2:22" hidden="1">
      <c r="B472" s="334" t="s">
        <v>244</v>
      </c>
      <c r="C472" s="32"/>
      <c r="D472" s="16" t="s">
        <v>22</v>
      </c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</row>
    <row r="473" spans="2:22" hidden="1">
      <c r="B473" s="334" t="s">
        <v>263</v>
      </c>
      <c r="C473" s="32"/>
      <c r="D473" s="16" t="s">
        <v>22</v>
      </c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</row>
    <row r="474" spans="2:22" hidden="1">
      <c r="B474" s="334" t="s">
        <v>264</v>
      </c>
      <c r="C474" s="32"/>
      <c r="D474" s="16" t="s">
        <v>22</v>
      </c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</row>
    <row r="475" spans="2:22" hidden="1">
      <c r="B475" s="334" t="s">
        <v>266</v>
      </c>
      <c r="C475" s="32"/>
      <c r="D475" s="16" t="s">
        <v>22</v>
      </c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</row>
    <row r="476" spans="2:22" ht="31.5">
      <c r="B476" s="458" t="s">
        <v>582</v>
      </c>
      <c r="C476" s="164" t="s">
        <v>1135</v>
      </c>
      <c r="D476" s="16" t="s">
        <v>22</v>
      </c>
      <c r="E476" s="181">
        <f>SUM(E477:E481)</f>
        <v>0</v>
      </c>
      <c r="F476" s="181">
        <v>-101621.17</v>
      </c>
      <c r="G476" s="181">
        <f t="shared" ref="G476:V476" si="103">SUM(G477:G481)</f>
        <v>0</v>
      </c>
      <c r="H476" s="181">
        <f t="shared" si="103"/>
        <v>0</v>
      </c>
      <c r="I476" s="181">
        <f t="shared" si="103"/>
        <v>0</v>
      </c>
      <c r="J476" s="181">
        <f t="shared" si="103"/>
        <v>0</v>
      </c>
      <c r="K476" s="181">
        <f t="shared" si="103"/>
        <v>0</v>
      </c>
      <c r="L476" s="181">
        <f t="shared" si="103"/>
        <v>0</v>
      </c>
      <c r="M476" s="181">
        <f t="shared" si="103"/>
        <v>333894.94</v>
      </c>
      <c r="N476" s="181">
        <f t="shared" si="103"/>
        <v>0</v>
      </c>
      <c r="O476" s="181">
        <f t="shared" si="103"/>
        <v>0</v>
      </c>
      <c r="P476" s="181">
        <f t="shared" si="103"/>
        <v>0</v>
      </c>
      <c r="Q476" s="181">
        <f t="shared" si="103"/>
        <v>0</v>
      </c>
      <c r="R476" s="181">
        <f t="shared" si="103"/>
        <v>0</v>
      </c>
      <c r="S476" s="181">
        <f t="shared" si="103"/>
        <v>0</v>
      </c>
      <c r="T476" s="181">
        <f t="shared" si="103"/>
        <v>0</v>
      </c>
      <c r="U476" s="181">
        <f t="shared" si="103"/>
        <v>0</v>
      </c>
      <c r="V476" s="181">
        <f t="shared" si="103"/>
        <v>0</v>
      </c>
    </row>
    <row r="477" spans="2:22">
      <c r="B477" s="458"/>
      <c r="C477" s="295" t="s">
        <v>1059</v>
      </c>
      <c r="D477" s="416" t="s">
        <v>22</v>
      </c>
      <c r="E477" s="297">
        <f>E458+E464+E470</f>
        <v>0</v>
      </c>
      <c r="F477" s="297">
        <f>F458+F464+F470+F476</f>
        <v>-62642.759999999995</v>
      </c>
      <c r="G477" s="297">
        <f t="shared" ref="G477:V477" si="104">G458+G464+G470</f>
        <v>0</v>
      </c>
      <c r="H477" s="297">
        <f t="shared" si="104"/>
        <v>0</v>
      </c>
      <c r="I477" s="297">
        <f t="shared" si="104"/>
        <v>0</v>
      </c>
      <c r="J477" s="297">
        <f t="shared" si="104"/>
        <v>0</v>
      </c>
      <c r="K477" s="297">
        <f t="shared" si="104"/>
        <v>0</v>
      </c>
      <c r="L477" s="297">
        <f t="shared" si="104"/>
        <v>0</v>
      </c>
      <c r="M477" s="297">
        <f t="shared" si="104"/>
        <v>333894.94</v>
      </c>
      <c r="N477" s="297">
        <f t="shared" si="104"/>
        <v>0</v>
      </c>
      <c r="O477" s="297">
        <f t="shared" si="104"/>
        <v>0</v>
      </c>
      <c r="P477" s="297">
        <f t="shared" si="104"/>
        <v>0</v>
      </c>
      <c r="Q477" s="297">
        <f t="shared" si="104"/>
        <v>0</v>
      </c>
      <c r="R477" s="297">
        <f t="shared" si="104"/>
        <v>0</v>
      </c>
      <c r="S477" s="297">
        <f t="shared" si="104"/>
        <v>0</v>
      </c>
      <c r="T477" s="297">
        <f t="shared" si="104"/>
        <v>0</v>
      </c>
      <c r="U477" s="297">
        <f t="shared" si="104"/>
        <v>0</v>
      </c>
      <c r="V477" s="297">
        <f t="shared" si="104"/>
        <v>0</v>
      </c>
    </row>
  </sheetData>
  <mergeCells count="191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61:L61"/>
    <mergeCell ref="K2:P2"/>
    <mergeCell ref="K3:P3"/>
    <mergeCell ref="K5:P5"/>
    <mergeCell ref="M68:N68"/>
    <mergeCell ref="O68:P68"/>
    <mergeCell ref="Q68:R68"/>
    <mergeCell ref="S68:T68"/>
    <mergeCell ref="U68:V68"/>
    <mergeCell ref="G135:L135"/>
    <mergeCell ref="G62:L62"/>
    <mergeCell ref="G64:L64"/>
    <mergeCell ref="B68:B69"/>
    <mergeCell ref="C68:C69"/>
    <mergeCell ref="D68:D69"/>
    <mergeCell ref="E68:F68"/>
    <mergeCell ref="G68:H68"/>
    <mergeCell ref="I68:J68"/>
    <mergeCell ref="K68:L68"/>
    <mergeCell ref="M141:N141"/>
    <mergeCell ref="O141:P141"/>
    <mergeCell ref="Q141:R141"/>
    <mergeCell ref="S141:T141"/>
    <mergeCell ref="U141:V141"/>
    <mergeCell ref="G152:L152"/>
    <mergeCell ref="G136:L136"/>
    <mergeCell ref="G138:L138"/>
    <mergeCell ref="B141:B142"/>
    <mergeCell ref="C141:C142"/>
    <mergeCell ref="D141:D142"/>
    <mergeCell ref="E141:F141"/>
    <mergeCell ref="G141:H141"/>
    <mergeCell ref="I141:J141"/>
    <mergeCell ref="K141:L141"/>
    <mergeCell ref="M158:N158"/>
    <mergeCell ref="O158:P158"/>
    <mergeCell ref="Q158:R158"/>
    <mergeCell ref="S158:T158"/>
    <mergeCell ref="U158:V158"/>
    <mergeCell ref="G169:L169"/>
    <mergeCell ref="G153:L153"/>
    <mergeCell ref="G155:L155"/>
    <mergeCell ref="B158:B159"/>
    <mergeCell ref="C158:C159"/>
    <mergeCell ref="D158:D159"/>
    <mergeCell ref="E158:F158"/>
    <mergeCell ref="G158:H158"/>
    <mergeCell ref="I158:J158"/>
    <mergeCell ref="K158:L158"/>
    <mergeCell ref="U175:V175"/>
    <mergeCell ref="G192:L192"/>
    <mergeCell ref="G170:L170"/>
    <mergeCell ref="G172:L172"/>
    <mergeCell ref="B175:B176"/>
    <mergeCell ref="C175:C176"/>
    <mergeCell ref="D175:D176"/>
    <mergeCell ref="E175:F175"/>
    <mergeCell ref="G175:H175"/>
    <mergeCell ref="I175:J175"/>
    <mergeCell ref="K175:L175"/>
    <mergeCell ref="G193:L193"/>
    <mergeCell ref="G195:L195"/>
    <mergeCell ref="B198:B199"/>
    <mergeCell ref="C198:C199"/>
    <mergeCell ref="D198:D199"/>
    <mergeCell ref="E198:F198"/>
    <mergeCell ref="G198:H198"/>
    <mergeCell ref="I198:J198"/>
    <mergeCell ref="K198:L198"/>
    <mergeCell ref="B211:B212"/>
    <mergeCell ref="C211:C212"/>
    <mergeCell ref="D211:D212"/>
    <mergeCell ref="E211:F211"/>
    <mergeCell ref="G211:H211"/>
    <mergeCell ref="U211:V211"/>
    <mergeCell ref="I211:J211"/>
    <mergeCell ref="K211:L211"/>
    <mergeCell ref="M211:N211"/>
    <mergeCell ref="O211:P211"/>
    <mergeCell ref="Q211:R211"/>
    <mergeCell ref="S211:T211"/>
    <mergeCell ref="B261:B262"/>
    <mergeCell ref="C261:C262"/>
    <mergeCell ref="D261:D262"/>
    <mergeCell ref="E261:F261"/>
    <mergeCell ref="G261:H261"/>
    <mergeCell ref="I261:J261"/>
    <mergeCell ref="K261:L261"/>
    <mergeCell ref="M261:N261"/>
    <mergeCell ref="O261:P261"/>
    <mergeCell ref="B276:B277"/>
    <mergeCell ref="C276:C277"/>
    <mergeCell ref="D276:D277"/>
    <mergeCell ref="E276:F276"/>
    <mergeCell ref="G276:H276"/>
    <mergeCell ref="I276:J276"/>
    <mergeCell ref="K276:L276"/>
    <mergeCell ref="M276:N276"/>
    <mergeCell ref="O276:P276"/>
    <mergeCell ref="B304:B305"/>
    <mergeCell ref="C304:C305"/>
    <mergeCell ref="D304:D305"/>
    <mergeCell ref="E304:F304"/>
    <mergeCell ref="G304:H304"/>
    <mergeCell ref="Q336:R336"/>
    <mergeCell ref="S336:T336"/>
    <mergeCell ref="U336:V336"/>
    <mergeCell ref="U304:V304"/>
    <mergeCell ref="I330:N330"/>
    <mergeCell ref="I331:N331"/>
    <mergeCell ref="I333:N333"/>
    <mergeCell ref="B336:B337"/>
    <mergeCell ref="C336:C337"/>
    <mergeCell ref="D336:D337"/>
    <mergeCell ref="E336:F336"/>
    <mergeCell ref="G336:H336"/>
    <mergeCell ref="I336:J336"/>
    <mergeCell ref="I304:J304"/>
    <mergeCell ref="K304:L304"/>
    <mergeCell ref="M304:N304"/>
    <mergeCell ref="O304:P304"/>
    <mergeCell ref="Q304:R304"/>
    <mergeCell ref="S304:T304"/>
    <mergeCell ref="B388:G388"/>
    <mergeCell ref="B407:B408"/>
    <mergeCell ref="C407:C408"/>
    <mergeCell ref="D407:D408"/>
    <mergeCell ref="E407:F407"/>
    <mergeCell ref="G407:H407"/>
    <mergeCell ref="K336:L336"/>
    <mergeCell ref="M336:N336"/>
    <mergeCell ref="O336:P336"/>
    <mergeCell ref="B455:B456"/>
    <mergeCell ref="C455:C456"/>
    <mergeCell ref="D455:D456"/>
    <mergeCell ref="E455:F455"/>
    <mergeCell ref="G455:H455"/>
    <mergeCell ref="I455:J455"/>
    <mergeCell ref="K455:L455"/>
    <mergeCell ref="U407:V407"/>
    <mergeCell ref="B436:B437"/>
    <mergeCell ref="C436:C437"/>
    <mergeCell ref="D436:D437"/>
    <mergeCell ref="E436:F436"/>
    <mergeCell ref="G436:H436"/>
    <mergeCell ref="I436:J436"/>
    <mergeCell ref="K436:L436"/>
    <mergeCell ref="M436:N436"/>
    <mergeCell ref="O436:P436"/>
    <mergeCell ref="I407:J407"/>
    <mergeCell ref="K407:L407"/>
    <mergeCell ref="M407:N407"/>
    <mergeCell ref="O407:P407"/>
    <mergeCell ref="Q407:R407"/>
    <mergeCell ref="S407:T407"/>
    <mergeCell ref="W17:X18"/>
    <mergeCell ref="M455:N455"/>
    <mergeCell ref="O455:P455"/>
    <mergeCell ref="Q455:R455"/>
    <mergeCell ref="S455:T455"/>
    <mergeCell ref="U455:V455"/>
    <mergeCell ref="Q436:R436"/>
    <mergeCell ref="S436:T436"/>
    <mergeCell ref="U436:V436"/>
    <mergeCell ref="Q261:R261"/>
    <mergeCell ref="S261:T261"/>
    <mergeCell ref="U261:V261"/>
    <mergeCell ref="Q276:R276"/>
    <mergeCell ref="S276:T276"/>
    <mergeCell ref="U276:V276"/>
    <mergeCell ref="M198:N198"/>
    <mergeCell ref="O198:P198"/>
    <mergeCell ref="Q198:R198"/>
    <mergeCell ref="S198:T198"/>
    <mergeCell ref="U198:V198"/>
    <mergeCell ref="M175:N175"/>
    <mergeCell ref="O175:P175"/>
    <mergeCell ref="Q175:R175"/>
    <mergeCell ref="S175:T175"/>
  </mergeCells>
  <pageMargins left="0" right="0" top="0" bottom="0" header="0.31496062992125984" footer="0.31496062992125984"/>
  <pageSetup paperSize="9" scale="6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Y475"/>
  <sheetViews>
    <sheetView topLeftCell="A423" zoomScale="125" zoomScaleNormal="125" zoomScalePageLayoutView="125" workbookViewId="0">
      <selection activeCell="R432" sqref="R432"/>
    </sheetView>
  </sheetViews>
  <sheetFormatPr defaultColWidth="8.85546875" defaultRowHeight="15" outlineLevelCol="1"/>
  <cols>
    <col min="1" max="1" width="2.28515625" customWidth="1"/>
    <col min="2" max="2" width="5.42578125" style="328" customWidth="1"/>
    <col min="3" max="3" width="31.140625" customWidth="1"/>
    <col min="4" max="4" width="10.42578125" style="417" customWidth="1"/>
    <col min="5" max="5" width="11.42578125" style="1" hidden="1" customWidth="1" outlineLevel="1"/>
    <col min="6" max="6" width="13.85546875" style="1" hidden="1" customWidth="1" outlineLevel="1"/>
    <col min="7" max="7" width="14" style="1" hidden="1" customWidth="1" outlineLevel="1"/>
    <col min="8" max="8" width="13" style="1" hidden="1" customWidth="1" outlineLevel="1"/>
    <col min="9" max="9" width="12.85546875" style="1" hidden="1" customWidth="1" outlineLevel="1"/>
    <col min="10" max="10" width="13.140625" style="1" hidden="1" customWidth="1" outlineLevel="1"/>
    <col min="11" max="11" width="12.85546875" style="1" hidden="1" customWidth="1"/>
    <col min="12" max="12" width="13.42578125" style="1" hidden="1" customWidth="1"/>
    <col min="13" max="13" width="15.28515625" style="1" customWidth="1"/>
    <col min="14" max="14" width="12.140625" style="1" customWidth="1"/>
    <col min="15" max="15" width="13.140625" style="1" customWidth="1" outlineLevel="1"/>
    <col min="16" max="16" width="12.28515625" style="1" customWidth="1" outlineLevel="1"/>
    <col min="17" max="17" width="13.140625" style="1" customWidth="1" outlineLevel="1"/>
    <col min="18" max="18" width="14.85546875" style="1" customWidth="1" outlineLevel="1"/>
    <col min="19" max="19" width="14.7109375" style="1" customWidth="1" outlineLevel="1"/>
    <col min="20" max="20" width="12.28515625" style="1" customWidth="1" outlineLevel="1"/>
    <col min="21" max="21" width="16.140625" style="1" customWidth="1" outlineLevel="1"/>
    <col min="22" max="22" width="12.140625" style="1" customWidth="1" outlineLevel="1"/>
    <col min="25" max="25" width="10" bestFit="1" customWidth="1"/>
  </cols>
  <sheetData>
    <row r="1" spans="2:25">
      <c r="W1" t="s">
        <v>1</v>
      </c>
    </row>
    <row r="2" spans="2:25">
      <c r="C2" s="328"/>
      <c r="D2" s="328"/>
      <c r="E2" s="328"/>
      <c r="F2"/>
      <c r="G2" s="417"/>
      <c r="J2" s="1601" t="s">
        <v>888</v>
      </c>
      <c r="K2" s="1601"/>
      <c r="L2" s="1601"/>
      <c r="M2" s="1601"/>
      <c r="N2" s="1601"/>
      <c r="O2" s="1601"/>
      <c r="W2" s="1"/>
      <c r="X2" s="1"/>
      <c r="Y2" s="1"/>
    </row>
    <row r="3" spans="2:25">
      <c r="C3" s="328"/>
      <c r="D3" s="328"/>
      <c r="E3" s="328"/>
      <c r="F3"/>
      <c r="G3" s="417"/>
      <c r="J3" s="1601" t="s">
        <v>889</v>
      </c>
      <c r="K3" s="1601"/>
      <c r="L3" s="1601"/>
      <c r="M3" s="1601"/>
      <c r="N3" s="1601"/>
      <c r="O3" s="1601"/>
      <c r="W3" s="1"/>
      <c r="X3" s="1"/>
      <c r="Y3" s="1"/>
    </row>
    <row r="4" spans="2:25">
      <c r="C4" s="328"/>
      <c r="D4" s="328"/>
      <c r="E4" s="328"/>
      <c r="F4"/>
      <c r="G4" s="417"/>
      <c r="J4" s="418" t="s">
        <v>890</v>
      </c>
      <c r="K4" s="418"/>
      <c r="L4" s="418"/>
      <c r="M4" s="418"/>
      <c r="N4" s="418"/>
      <c r="O4" s="418"/>
      <c r="W4" s="1"/>
      <c r="X4" s="1"/>
      <c r="Y4" s="1"/>
    </row>
    <row r="5" spans="2:25">
      <c r="C5" s="328"/>
      <c r="D5" s="328"/>
      <c r="E5" s="328"/>
      <c r="F5"/>
      <c r="G5" s="417"/>
      <c r="J5" s="1601" t="s">
        <v>891</v>
      </c>
      <c r="K5" s="1601"/>
      <c r="L5" s="1601"/>
      <c r="M5" s="1601"/>
      <c r="N5" s="1601"/>
      <c r="O5" s="1601"/>
      <c r="W5" s="1"/>
      <c r="X5" s="1"/>
      <c r="Y5" s="1"/>
    </row>
    <row r="6" spans="2:25" ht="15.75">
      <c r="B6" s="419" t="s">
        <v>892</v>
      </c>
      <c r="G6" s="418"/>
      <c r="H6" s="418"/>
      <c r="I6" s="418"/>
      <c r="J6" s="418"/>
      <c r="K6" s="418"/>
      <c r="L6" s="418"/>
    </row>
    <row r="7" spans="2:25">
      <c r="G7" s="418"/>
      <c r="H7" s="418"/>
      <c r="I7" s="418">
        <v>1.0617209999999999</v>
      </c>
      <c r="J7" s="418"/>
      <c r="K7" s="418">
        <v>1.0214019999999999</v>
      </c>
      <c r="L7" s="418"/>
      <c r="M7" s="118">
        <v>1.04</v>
      </c>
      <c r="N7" s="118"/>
      <c r="O7" s="118">
        <v>1.02</v>
      </c>
      <c r="P7" s="118"/>
      <c r="Q7" s="118">
        <v>1.02</v>
      </c>
      <c r="R7" s="118"/>
      <c r="S7" s="118">
        <v>1.02</v>
      </c>
      <c r="T7" s="118"/>
      <c r="U7" s="118">
        <v>1.02</v>
      </c>
      <c r="V7" s="118"/>
    </row>
    <row r="8" spans="2:25" ht="15.75">
      <c r="B8" s="419" t="s">
        <v>893</v>
      </c>
      <c r="O8" s="118"/>
    </row>
    <row r="9" spans="2:25" ht="23.45" customHeight="1">
      <c r="B9" s="1597" t="s">
        <v>539</v>
      </c>
      <c r="C9" s="1598" t="s">
        <v>540</v>
      </c>
      <c r="D9" s="1599" t="s">
        <v>541</v>
      </c>
      <c r="E9" s="1596" t="s">
        <v>4</v>
      </c>
      <c r="F9" s="1596"/>
      <c r="G9" s="1596" t="s">
        <v>5</v>
      </c>
      <c r="H9" s="1596"/>
      <c r="I9" s="1596" t="s">
        <v>6</v>
      </c>
      <c r="J9" s="1596"/>
      <c r="K9" s="1596" t="s">
        <v>7</v>
      </c>
      <c r="L9" s="1596"/>
      <c r="M9" s="1596" t="s">
        <v>1382</v>
      </c>
      <c r="N9" s="1596"/>
      <c r="O9" s="1596" t="s">
        <v>1377</v>
      </c>
      <c r="P9" s="1596"/>
      <c r="Q9" s="1596" t="s">
        <v>10</v>
      </c>
      <c r="R9" s="1596"/>
      <c r="S9" s="1596" t="s">
        <v>11</v>
      </c>
      <c r="T9" s="1596"/>
      <c r="U9" s="1596" t="s">
        <v>12</v>
      </c>
      <c r="V9" s="1596"/>
    </row>
    <row r="10" spans="2:25" ht="41.1" customHeight="1">
      <c r="B10" s="1597"/>
      <c r="C10" s="1598"/>
      <c r="D10" s="1599"/>
      <c r="E10" s="149" t="s">
        <v>13</v>
      </c>
      <c r="F10" s="150" t="s">
        <v>14</v>
      </c>
      <c r="G10" s="149" t="s">
        <v>13</v>
      </c>
      <c r="H10" s="150" t="s">
        <v>14</v>
      </c>
      <c r="I10" s="149" t="s">
        <v>13</v>
      </c>
      <c r="J10" s="150" t="s">
        <v>14</v>
      </c>
      <c r="K10" s="149" t="s">
        <v>13</v>
      </c>
      <c r="L10" s="150" t="s">
        <v>1278</v>
      </c>
      <c r="M10" s="149" t="s">
        <v>16</v>
      </c>
      <c r="N10" s="150" t="s">
        <v>17</v>
      </c>
      <c r="O10" s="149" t="s">
        <v>16</v>
      </c>
      <c r="P10" s="150" t="s">
        <v>17</v>
      </c>
      <c r="Q10" s="149" t="s">
        <v>16</v>
      </c>
      <c r="R10" s="150" t="s">
        <v>17</v>
      </c>
      <c r="S10" s="149" t="s">
        <v>16</v>
      </c>
      <c r="T10" s="150" t="s">
        <v>17</v>
      </c>
      <c r="U10" s="149" t="s">
        <v>16</v>
      </c>
      <c r="V10" s="150" t="s">
        <v>17</v>
      </c>
    </row>
    <row r="11" spans="2:25">
      <c r="B11" s="155">
        <v>1</v>
      </c>
      <c r="C11" s="155">
        <v>2</v>
      </c>
      <c r="D11" s="155">
        <v>3</v>
      </c>
      <c r="E11" s="155">
        <v>4</v>
      </c>
      <c r="F11" s="155">
        <v>5</v>
      </c>
      <c r="G11" s="155">
        <v>6</v>
      </c>
      <c r="H11" s="155">
        <v>7</v>
      </c>
      <c r="I11" s="155">
        <v>8</v>
      </c>
      <c r="J11" s="155">
        <v>9</v>
      </c>
      <c r="K11" s="155">
        <v>10</v>
      </c>
      <c r="L11" s="155">
        <v>11</v>
      </c>
      <c r="M11" s="155">
        <v>12</v>
      </c>
      <c r="N11" s="155">
        <v>13</v>
      </c>
      <c r="O11" s="155">
        <v>14</v>
      </c>
      <c r="P11" s="155">
        <v>15</v>
      </c>
      <c r="Q11" s="155">
        <v>16</v>
      </c>
      <c r="R11" s="155">
        <v>17</v>
      </c>
      <c r="S11" s="155">
        <v>18</v>
      </c>
      <c r="T11" s="155">
        <v>19</v>
      </c>
      <c r="U11" s="155">
        <v>20</v>
      </c>
      <c r="V11" s="155">
        <v>21</v>
      </c>
    </row>
    <row r="12" spans="2:25">
      <c r="B12" s="320" t="s">
        <v>803</v>
      </c>
      <c r="C12" s="159" t="s">
        <v>894</v>
      </c>
      <c r="D12" s="420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</row>
    <row r="13" spans="2:25">
      <c r="B13" s="421" t="s">
        <v>24</v>
      </c>
      <c r="C13" s="164" t="s">
        <v>895</v>
      </c>
      <c r="D13" s="27" t="s">
        <v>22</v>
      </c>
      <c r="E13" s="286">
        <f t="shared" ref="E13:V13" si="0">E14*E15/1000</f>
        <v>6378.8000000000011</v>
      </c>
      <c r="F13" s="286">
        <f t="shared" si="0"/>
        <v>4035.6900004460299</v>
      </c>
      <c r="G13" s="286">
        <f t="shared" si="0"/>
        <v>0</v>
      </c>
      <c r="H13" s="286">
        <f t="shared" si="0"/>
        <v>0</v>
      </c>
      <c r="I13" s="286">
        <f t="shared" si="0"/>
        <v>0</v>
      </c>
      <c r="J13" s="286">
        <f t="shared" si="0"/>
        <v>0</v>
      </c>
      <c r="K13" s="286">
        <f t="shared" si="0"/>
        <v>0</v>
      </c>
      <c r="L13" s="286">
        <f t="shared" si="0"/>
        <v>0</v>
      </c>
      <c r="M13" s="286">
        <f t="shared" si="0"/>
        <v>0</v>
      </c>
      <c r="N13" s="286">
        <f t="shared" si="0"/>
        <v>0</v>
      </c>
      <c r="O13" s="286">
        <f t="shared" si="0"/>
        <v>0</v>
      </c>
      <c r="P13" s="286">
        <f t="shared" si="0"/>
        <v>0</v>
      </c>
      <c r="Q13" s="286">
        <f t="shared" si="0"/>
        <v>0</v>
      </c>
      <c r="R13" s="286">
        <f t="shared" si="0"/>
        <v>0</v>
      </c>
      <c r="S13" s="286">
        <f t="shared" si="0"/>
        <v>0</v>
      </c>
      <c r="T13" s="286">
        <f t="shared" si="0"/>
        <v>0</v>
      </c>
      <c r="U13" s="286">
        <f t="shared" si="0"/>
        <v>0</v>
      </c>
      <c r="V13" s="286">
        <f t="shared" si="0"/>
        <v>0</v>
      </c>
    </row>
    <row r="14" spans="2:25">
      <c r="B14" s="421" t="s">
        <v>26</v>
      </c>
      <c r="C14" s="24" t="s">
        <v>28</v>
      </c>
      <c r="D14" s="27" t="s">
        <v>29</v>
      </c>
      <c r="E14" s="422">
        <f>6378.8/201.54*1000</f>
        <v>31650.292745856907</v>
      </c>
      <c r="F14" s="422">
        <f>4035.66/134.52*1000</f>
        <v>30000.446030330062</v>
      </c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</row>
    <row r="15" spans="2:25">
      <c r="B15" s="421" t="s">
        <v>896</v>
      </c>
      <c r="C15" s="24" t="s">
        <v>897</v>
      </c>
      <c r="D15" s="27" t="s">
        <v>31</v>
      </c>
      <c r="E15" s="422">
        <v>201.54</v>
      </c>
      <c r="F15" s="422">
        <v>134.52099999999999</v>
      </c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</row>
    <row r="16" spans="2:25">
      <c r="B16" s="421" t="s">
        <v>37</v>
      </c>
      <c r="C16" s="164" t="s">
        <v>898</v>
      </c>
      <c r="D16" s="27" t="s">
        <v>22</v>
      </c>
      <c r="E16" s="286">
        <f>E17*E18/1000-0.01</f>
        <v>2202.6523459999999</v>
      </c>
      <c r="F16" s="286">
        <f t="shared" ref="F16:V16" si="1">F17*F18/1000</f>
        <v>24.442</v>
      </c>
      <c r="G16" s="286">
        <f t="shared" si="1"/>
        <v>1797.1900000000003</v>
      </c>
      <c r="H16" s="286">
        <f t="shared" si="1"/>
        <v>0</v>
      </c>
      <c r="I16" s="286">
        <f t="shared" si="1"/>
        <v>1908.1143639900001</v>
      </c>
      <c r="J16" s="286">
        <f t="shared" si="1"/>
        <v>23.053412000000002</v>
      </c>
      <c r="K16" s="286">
        <f t="shared" si="1"/>
        <v>1948.9518276081142</v>
      </c>
      <c r="L16" s="286">
        <f t="shared" si="1"/>
        <v>0</v>
      </c>
      <c r="M16" s="286">
        <f t="shared" si="1"/>
        <v>748.04879999999991</v>
      </c>
      <c r="N16" s="286">
        <f t="shared" si="1"/>
        <v>0</v>
      </c>
      <c r="O16" s="286">
        <f t="shared" si="1"/>
        <v>1118.4838676100001</v>
      </c>
      <c r="P16" s="286">
        <f t="shared" si="1"/>
        <v>0</v>
      </c>
      <c r="Q16" s="286">
        <f t="shared" si="1"/>
        <v>941.74054379999995</v>
      </c>
      <c r="R16" s="286">
        <f t="shared" si="1"/>
        <v>0</v>
      </c>
      <c r="S16" s="286">
        <f t="shared" si="1"/>
        <v>957.74889139800007</v>
      </c>
      <c r="T16" s="286">
        <f t="shared" si="1"/>
        <v>0</v>
      </c>
      <c r="U16" s="286">
        <f t="shared" si="1"/>
        <v>973.97307364499989</v>
      </c>
      <c r="V16" s="286">
        <f t="shared" si="1"/>
        <v>0</v>
      </c>
    </row>
    <row r="17" spans="2:22">
      <c r="B17" s="421" t="s">
        <v>41</v>
      </c>
      <c r="C17" s="24" t="s">
        <v>28</v>
      </c>
      <c r="D17" s="27" t="s">
        <v>29</v>
      </c>
      <c r="E17" s="422">
        <v>6680.2</v>
      </c>
      <c r="F17" s="422">
        <v>12221</v>
      </c>
      <c r="G17" s="422">
        <f>1797.19/143.37*1000</f>
        <v>12535.328171863013</v>
      </c>
      <c r="H17" s="422">
        <v>0</v>
      </c>
      <c r="I17" s="422">
        <f>G17*I7</f>
        <v>13309.02116195857</v>
      </c>
      <c r="J17" s="422">
        <v>11526.706</v>
      </c>
      <c r="K17" s="422">
        <f>I17*K7</f>
        <v>13593.860832866807</v>
      </c>
      <c r="L17" s="422">
        <v>11526.705</v>
      </c>
      <c r="M17" s="422">
        <v>12467.48</v>
      </c>
      <c r="N17" s="422">
        <f>'К ВС'!N324</f>
        <v>125555.68150020801</v>
      </c>
      <c r="O17" s="422">
        <v>12965.674000000001</v>
      </c>
      <c r="P17" s="422"/>
      <c r="Q17" s="422">
        <v>13225.95</v>
      </c>
      <c r="R17" s="422"/>
      <c r="S17" s="422">
        <v>13489.800999999999</v>
      </c>
      <c r="T17" s="422"/>
      <c r="U17" s="422">
        <v>13759.597</v>
      </c>
      <c r="V17" s="422"/>
    </row>
    <row r="18" spans="2:22">
      <c r="B18" s="421" t="s">
        <v>899</v>
      </c>
      <c r="C18" s="24" t="s">
        <v>897</v>
      </c>
      <c r="D18" s="27" t="s">
        <v>31</v>
      </c>
      <c r="E18" s="422">
        <v>329.73</v>
      </c>
      <c r="F18" s="422">
        <v>2</v>
      </c>
      <c r="G18" s="422">
        <v>143.37</v>
      </c>
      <c r="H18" s="422">
        <v>0</v>
      </c>
      <c r="I18" s="422">
        <f>G18</f>
        <v>143.37</v>
      </c>
      <c r="J18" s="422">
        <v>2</v>
      </c>
      <c r="K18" s="422">
        <f>I18</f>
        <v>143.37</v>
      </c>
      <c r="L18" s="422">
        <v>0</v>
      </c>
      <c r="M18" s="422">
        <v>60</v>
      </c>
      <c r="N18" s="422"/>
      <c r="O18" s="422">
        <v>86.265000000000001</v>
      </c>
      <c r="P18" s="422"/>
      <c r="Q18" s="422">
        <v>71.203999999999994</v>
      </c>
      <c r="R18" s="422"/>
      <c r="S18" s="422">
        <v>70.998000000000005</v>
      </c>
      <c r="T18" s="422"/>
      <c r="U18" s="422">
        <v>70.784999999999997</v>
      </c>
      <c r="V18" s="422"/>
    </row>
    <row r="19" spans="2:22" ht="21">
      <c r="B19" s="421" t="s">
        <v>143</v>
      </c>
      <c r="C19" s="164" t="s">
        <v>900</v>
      </c>
      <c r="D19" s="27" t="s">
        <v>22</v>
      </c>
      <c r="E19" s="286">
        <v>40475.760000000002</v>
      </c>
      <c r="F19" s="286">
        <v>37812.47</v>
      </c>
      <c r="G19" s="286">
        <f t="shared" ref="G19:V19" si="2">G20*G21/1000</f>
        <v>43402.470000000008</v>
      </c>
      <c r="H19" s="286">
        <f t="shared" si="2"/>
        <v>55996.69000000001</v>
      </c>
      <c r="I19" s="286">
        <f t="shared" si="2"/>
        <v>46081.313850870007</v>
      </c>
      <c r="J19" s="286">
        <f t="shared" si="2"/>
        <v>54466.7005441</v>
      </c>
      <c r="K19" s="286">
        <f t="shared" si="2"/>
        <v>47067.546129906324</v>
      </c>
      <c r="L19" s="286">
        <f t="shared" si="2"/>
        <v>40453.423920000001</v>
      </c>
      <c r="M19" s="286">
        <f t="shared" si="2"/>
        <v>44402.408080200003</v>
      </c>
      <c r="N19" s="286">
        <f t="shared" si="2"/>
        <v>0</v>
      </c>
      <c r="O19" s="286">
        <f t="shared" si="2"/>
        <v>47347.586790660003</v>
      </c>
      <c r="P19" s="286">
        <f t="shared" si="2"/>
        <v>0</v>
      </c>
      <c r="Q19" s="286">
        <f t="shared" si="2"/>
        <v>57169.976854754997</v>
      </c>
      <c r="R19" s="286">
        <f t="shared" si="2"/>
        <v>0</v>
      </c>
      <c r="S19" s="286">
        <f t="shared" si="2"/>
        <v>58136.445005628004</v>
      </c>
      <c r="T19" s="286">
        <f t="shared" si="2"/>
        <v>0</v>
      </c>
      <c r="U19" s="286">
        <f t="shared" si="2"/>
        <v>59129.098349838998</v>
      </c>
      <c r="V19" s="286">
        <f t="shared" si="2"/>
        <v>0</v>
      </c>
    </row>
    <row r="20" spans="2:22">
      <c r="B20" s="421" t="s">
        <v>564</v>
      </c>
      <c r="C20" s="24" t="s">
        <v>28</v>
      </c>
      <c r="D20" s="27" t="s">
        <v>29</v>
      </c>
      <c r="E20" s="422">
        <f>E19/E21*1000</f>
        <v>16987.279190501569</v>
      </c>
      <c r="F20" s="422">
        <f>F19/F21*1000</f>
        <v>17754.000375622123</v>
      </c>
      <c r="G20" s="422">
        <f>43402.47/2382.71*1000</f>
        <v>18215.590650981449</v>
      </c>
      <c r="H20" s="422">
        <f>55996.69/2905.9*1000</f>
        <v>19269.998967617608</v>
      </c>
      <c r="I20" s="422">
        <f>G20*I7</f>
        <v>19339.875121550675</v>
      </c>
      <c r="J20" s="422">
        <v>21235.409</v>
      </c>
      <c r="K20" s="422">
        <f>I20*K7</f>
        <v>19753.787128902102</v>
      </c>
      <c r="L20" s="422">
        <v>21609.735000000001</v>
      </c>
      <c r="M20" s="422">
        <v>21610.166000000001</v>
      </c>
      <c r="N20" s="422"/>
      <c r="O20" s="422">
        <v>22474.53</v>
      </c>
      <c r="P20" s="422"/>
      <c r="Q20" s="422">
        <v>22924.062999999998</v>
      </c>
      <c r="R20" s="422"/>
      <c r="S20" s="422">
        <v>23382.545999999998</v>
      </c>
      <c r="T20" s="422"/>
      <c r="U20" s="422">
        <v>23850.197</v>
      </c>
      <c r="V20" s="422"/>
    </row>
    <row r="21" spans="2:22">
      <c r="B21" s="421" t="s">
        <v>901</v>
      </c>
      <c r="C21" s="24" t="s">
        <v>897</v>
      </c>
      <c r="D21" s="27" t="s">
        <v>31</v>
      </c>
      <c r="E21" s="422">
        <v>2382.71</v>
      </c>
      <c r="F21" s="422">
        <v>2129.8000000000002</v>
      </c>
      <c r="G21" s="422">
        <v>2382.71</v>
      </c>
      <c r="H21" s="422">
        <v>2905.9</v>
      </c>
      <c r="I21" s="422">
        <f>G21</f>
        <v>2382.71</v>
      </c>
      <c r="J21" s="422">
        <v>2564.9</v>
      </c>
      <c r="K21" s="422">
        <f>I21</f>
        <v>2382.71</v>
      </c>
      <c r="L21" s="422">
        <v>1872</v>
      </c>
      <c r="M21" s="422">
        <v>2054.6999999999998</v>
      </c>
      <c r="N21" s="422"/>
      <c r="O21" s="422">
        <v>2106.7220000000002</v>
      </c>
      <c r="P21" s="422"/>
      <c r="Q21" s="422">
        <v>2493.8850000000002</v>
      </c>
      <c r="R21" s="422"/>
      <c r="S21" s="422">
        <v>2486.3180000000002</v>
      </c>
      <c r="T21" s="422"/>
      <c r="U21" s="422">
        <v>2479.1869999999999</v>
      </c>
      <c r="V21" s="422"/>
    </row>
    <row r="22" spans="2:22">
      <c r="B22" s="421" t="s">
        <v>144</v>
      </c>
      <c r="C22" s="164" t="s">
        <v>902</v>
      </c>
      <c r="D22" s="27" t="s">
        <v>22</v>
      </c>
      <c r="E22" s="286">
        <v>912.09</v>
      </c>
      <c r="F22" s="286">
        <v>1090.17</v>
      </c>
      <c r="G22" s="286">
        <f t="shared" ref="G22:V22" si="3">G23*G24/1000</f>
        <v>1056.24</v>
      </c>
      <c r="H22" s="286">
        <f t="shared" si="3"/>
        <v>2013.7000000000005</v>
      </c>
      <c r="I22" s="286">
        <f t="shared" si="3"/>
        <v>1121.4321890400001</v>
      </c>
      <c r="J22" s="286">
        <f t="shared" si="3"/>
        <v>1674.13968774</v>
      </c>
      <c r="K22" s="286">
        <f t="shared" si="3"/>
        <v>1145.4330807498341</v>
      </c>
      <c r="L22" s="286">
        <f t="shared" si="3"/>
        <v>2185.5721144500003</v>
      </c>
      <c r="M22" s="286">
        <f>M23*M24/1000</f>
        <v>2337.4340977409602</v>
      </c>
      <c r="N22" s="286">
        <f t="shared" si="3"/>
        <v>0</v>
      </c>
      <c r="O22" s="286">
        <f t="shared" si="3"/>
        <v>1705.4233331082503</v>
      </c>
      <c r="P22" s="286">
        <f t="shared" si="3"/>
        <v>0</v>
      </c>
      <c r="Q22" s="286">
        <f t="shared" si="3"/>
        <v>1634.4269690807798</v>
      </c>
      <c r="R22" s="286">
        <f t="shared" si="3"/>
        <v>0</v>
      </c>
      <c r="S22" s="286">
        <f t="shared" si="3"/>
        <v>1662.0616108928</v>
      </c>
      <c r="T22" s="286">
        <f t="shared" si="3"/>
        <v>0</v>
      </c>
      <c r="U22" s="286">
        <f t="shared" si="3"/>
        <v>1690.429314252</v>
      </c>
      <c r="V22" s="286">
        <f t="shared" si="3"/>
        <v>0</v>
      </c>
    </row>
    <row r="23" spans="2:22">
      <c r="B23" s="421" t="s">
        <v>146</v>
      </c>
      <c r="C23" s="24" t="s">
        <v>903</v>
      </c>
      <c r="D23" s="27" t="s">
        <v>29</v>
      </c>
      <c r="E23" s="422">
        <f>E22/E24*1000</f>
        <v>265915.45189504372</v>
      </c>
      <c r="F23" s="422">
        <f>F22/F24*1000</f>
        <v>234950.43103448278</v>
      </c>
      <c r="G23" s="422">
        <f>1056.24/3.43*1000</f>
        <v>307941.69096209912</v>
      </c>
      <c r="H23" s="422">
        <f>2013.7/6.2*1000</f>
        <v>324790.32258064521</v>
      </c>
      <c r="I23" s="422">
        <f>G23*I7</f>
        <v>326948.16006997082</v>
      </c>
      <c r="J23" s="422">
        <v>324882</v>
      </c>
      <c r="K23" s="422">
        <f>I23*K7</f>
        <v>333945.50459178834</v>
      </c>
      <c r="L23" s="422">
        <v>332415</v>
      </c>
      <c r="M23" s="422">
        <v>380669.75300000003</v>
      </c>
      <c r="N23" s="422"/>
      <c r="O23" s="422">
        <v>395896.54300000001</v>
      </c>
      <c r="P23" s="422"/>
      <c r="Q23" s="422">
        <v>403814.47399999999</v>
      </c>
      <c r="R23" s="422"/>
      <c r="S23" s="422">
        <v>411890.76400000002</v>
      </c>
      <c r="T23" s="422"/>
      <c r="U23" s="422">
        <v>420128.57</v>
      </c>
      <c r="V23" s="422"/>
    </row>
    <row r="24" spans="2:22">
      <c r="B24" s="421" t="s">
        <v>904</v>
      </c>
      <c r="C24" s="24" t="s">
        <v>897</v>
      </c>
      <c r="D24" s="27" t="s">
        <v>31</v>
      </c>
      <c r="E24" s="422">
        <v>3.43</v>
      </c>
      <c r="F24" s="422">
        <v>4.6399999999999997</v>
      </c>
      <c r="G24" s="422">
        <v>3.43</v>
      </c>
      <c r="H24" s="422">
        <v>6.2</v>
      </c>
      <c r="I24" s="422">
        <f>G24</f>
        <v>3.43</v>
      </c>
      <c r="J24" s="422">
        <v>5.1530699999999996</v>
      </c>
      <c r="K24" s="422">
        <f>I24</f>
        <v>3.43</v>
      </c>
      <c r="L24" s="422">
        <v>6.5748300000000004</v>
      </c>
      <c r="M24" s="422">
        <v>6.14032</v>
      </c>
      <c r="N24" s="422"/>
      <c r="O24" s="422">
        <v>4.3077500000000004</v>
      </c>
      <c r="P24" s="422"/>
      <c r="Q24" s="422">
        <v>4.0474699999999997</v>
      </c>
      <c r="R24" s="422"/>
      <c r="S24" s="422">
        <v>4.0351999999999997</v>
      </c>
      <c r="T24" s="422"/>
      <c r="U24" s="422">
        <v>4.0236000000000001</v>
      </c>
      <c r="V24" s="422"/>
    </row>
    <row r="25" spans="2:22">
      <c r="B25" s="421" t="s">
        <v>172</v>
      </c>
      <c r="C25" s="164" t="s">
        <v>905</v>
      </c>
      <c r="D25" s="27" t="s">
        <v>22</v>
      </c>
      <c r="E25" s="286">
        <v>14492.13</v>
      </c>
      <c r="F25" s="286">
        <v>28380</v>
      </c>
      <c r="G25" s="286">
        <f t="shared" ref="G25:V25" si="4">G26*G27/1000</f>
        <v>23603.330000000005</v>
      </c>
      <c r="H25" s="286">
        <f t="shared" si="4"/>
        <v>35159</v>
      </c>
      <c r="I25" s="286">
        <f t="shared" si="4"/>
        <v>25060.15113093</v>
      </c>
      <c r="J25" s="286">
        <f t="shared" si="4"/>
        <v>22878.722787799998</v>
      </c>
      <c r="K25" s="286">
        <f t="shared" si="4"/>
        <v>26144.30453199942</v>
      </c>
      <c r="L25" s="286">
        <f t="shared" si="4"/>
        <v>8789.5800419999996</v>
      </c>
      <c r="M25" s="286">
        <f t="shared" si="4"/>
        <v>461.55337800000001</v>
      </c>
      <c r="N25" s="286">
        <f t="shared" si="4"/>
        <v>0</v>
      </c>
      <c r="O25" s="286">
        <f>O26*O27/1000</f>
        <v>26227.065835045003</v>
      </c>
      <c r="P25" s="286">
        <f t="shared" si="4"/>
        <v>0</v>
      </c>
      <c r="Q25" s="286">
        <f>Q26*Q27/1000</f>
        <v>36878.717829145506</v>
      </c>
      <c r="R25" s="286">
        <f t="shared" si="4"/>
        <v>0</v>
      </c>
      <c r="S25" s="286">
        <f t="shared" si="4"/>
        <v>37502.146258500004</v>
      </c>
      <c r="T25" s="286">
        <f t="shared" si="4"/>
        <v>0</v>
      </c>
      <c r="U25" s="286">
        <f t="shared" si="4"/>
        <v>38142.460589171402</v>
      </c>
      <c r="V25" s="286">
        <f t="shared" si="4"/>
        <v>0</v>
      </c>
    </row>
    <row r="26" spans="2:22">
      <c r="B26" s="421" t="s">
        <v>906</v>
      </c>
      <c r="C26" s="24" t="s">
        <v>28</v>
      </c>
      <c r="D26" s="27" t="s">
        <v>29</v>
      </c>
      <c r="E26" s="422">
        <f>E25/E27*1000</f>
        <v>67521.455528118153</v>
      </c>
      <c r="F26" s="422">
        <f>F25/F27*1000</f>
        <v>82500</v>
      </c>
      <c r="G26" s="422">
        <f>23603.33/278.85*1000</f>
        <v>84645.257306795771</v>
      </c>
      <c r="H26" s="422">
        <f>35159/400.4*1000</f>
        <v>87809.690309690312</v>
      </c>
      <c r="I26" s="422">
        <f>G26*I7</f>
        <v>89869.647233028503</v>
      </c>
      <c r="J26" s="422">
        <v>102964.549</v>
      </c>
      <c r="K26" s="422">
        <f>I26*K7</f>
        <v>91793.037423109767</v>
      </c>
      <c r="L26" s="422">
        <v>104887.59</v>
      </c>
      <c r="M26" s="422">
        <v>104898.495</v>
      </c>
      <c r="N26" s="422"/>
      <c r="O26" s="422">
        <v>109094.435</v>
      </c>
      <c r="P26" s="422"/>
      <c r="Q26" s="422">
        <v>111276.315</v>
      </c>
      <c r="R26" s="422"/>
      <c r="S26" s="422">
        <v>113501.85</v>
      </c>
      <c r="T26" s="422"/>
      <c r="U26" s="422">
        <v>115771.887</v>
      </c>
      <c r="V26" s="422"/>
    </row>
    <row r="27" spans="2:22">
      <c r="B27" s="421" t="s">
        <v>907</v>
      </c>
      <c r="C27" s="24" t="s">
        <v>897</v>
      </c>
      <c r="D27" s="27" t="s">
        <v>31</v>
      </c>
      <c r="E27" s="422">
        <v>214.63</v>
      </c>
      <c r="F27" s="422">
        <v>344</v>
      </c>
      <c r="G27" s="422">
        <v>278.85000000000002</v>
      </c>
      <c r="H27" s="422">
        <v>400.4</v>
      </c>
      <c r="I27" s="422">
        <f>G27</f>
        <v>278.85000000000002</v>
      </c>
      <c r="J27" s="422">
        <v>222.2</v>
      </c>
      <c r="K27" s="422">
        <f>I27*K7</f>
        <v>284.81794769999999</v>
      </c>
      <c r="L27" s="422">
        <v>83.8</v>
      </c>
      <c r="M27" s="422">
        <v>4.4000000000000004</v>
      </c>
      <c r="N27" s="422"/>
      <c r="O27" s="422">
        <v>240.40700000000001</v>
      </c>
      <c r="P27" s="422"/>
      <c r="Q27" s="422">
        <v>331.41570000000002</v>
      </c>
      <c r="R27" s="422"/>
      <c r="S27" s="422">
        <v>330.41</v>
      </c>
      <c r="T27" s="422"/>
      <c r="U27" s="422">
        <v>329.4622</v>
      </c>
      <c r="V27" s="422"/>
    </row>
    <row r="28" spans="2:22">
      <c r="B28" s="421" t="s">
        <v>174</v>
      </c>
      <c r="C28" s="423" t="s">
        <v>908</v>
      </c>
      <c r="D28" s="27" t="s">
        <v>22</v>
      </c>
      <c r="E28" s="286"/>
      <c r="F28" s="286">
        <v>20.57</v>
      </c>
      <c r="G28" s="286"/>
      <c r="H28" s="286"/>
      <c r="I28" s="286"/>
      <c r="J28" s="286"/>
      <c r="K28" s="286">
        <f t="shared" ref="K28:V28" si="5">K29*K30/1000</f>
        <v>0</v>
      </c>
      <c r="L28" s="286">
        <f t="shared" si="5"/>
        <v>0</v>
      </c>
      <c r="M28" s="286">
        <f t="shared" si="5"/>
        <v>0</v>
      </c>
      <c r="N28" s="286">
        <f t="shared" si="5"/>
        <v>0</v>
      </c>
      <c r="O28" s="286">
        <f t="shared" si="5"/>
        <v>0</v>
      </c>
      <c r="P28" s="286">
        <f t="shared" si="5"/>
        <v>0</v>
      </c>
      <c r="Q28" s="286">
        <f t="shared" si="5"/>
        <v>0</v>
      </c>
      <c r="R28" s="286">
        <f t="shared" si="5"/>
        <v>0</v>
      </c>
      <c r="S28" s="286">
        <f t="shared" si="5"/>
        <v>0</v>
      </c>
      <c r="T28" s="286">
        <f t="shared" si="5"/>
        <v>0</v>
      </c>
      <c r="U28" s="286">
        <f t="shared" si="5"/>
        <v>0</v>
      </c>
      <c r="V28" s="286">
        <f t="shared" si="5"/>
        <v>0</v>
      </c>
    </row>
    <row r="29" spans="2:22">
      <c r="B29" s="421" t="s">
        <v>909</v>
      </c>
      <c r="C29" s="24" t="s">
        <v>28</v>
      </c>
      <c r="D29" s="27" t="s">
        <v>29</v>
      </c>
      <c r="E29" s="422">
        <v>0</v>
      </c>
      <c r="F29" s="422">
        <f>F28/F30*1000</f>
        <v>257125</v>
      </c>
      <c r="G29" s="422">
        <v>0</v>
      </c>
      <c r="H29" s="422">
        <v>0</v>
      </c>
      <c r="I29" s="422">
        <v>0</v>
      </c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</row>
    <row r="30" spans="2:22">
      <c r="B30" s="421" t="s">
        <v>910</v>
      </c>
      <c r="C30" s="24" t="s">
        <v>897</v>
      </c>
      <c r="D30" s="27" t="s">
        <v>31</v>
      </c>
      <c r="E30" s="422">
        <v>0</v>
      </c>
      <c r="F30" s="422">
        <v>0.08</v>
      </c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</row>
    <row r="31" spans="2:22" ht="27" customHeight="1">
      <c r="B31" s="421" t="s">
        <v>176</v>
      </c>
      <c r="C31" s="164" t="s">
        <v>911</v>
      </c>
      <c r="D31" s="27" t="s">
        <v>22</v>
      </c>
      <c r="E31" s="286">
        <v>110.82</v>
      </c>
      <c r="F31" s="286">
        <v>257.8</v>
      </c>
      <c r="G31" s="286">
        <f t="shared" ref="G31:V31" si="6">G32*G33/1000</f>
        <v>56.52</v>
      </c>
      <c r="H31" s="286">
        <f t="shared" si="6"/>
        <v>314.47000000000008</v>
      </c>
      <c r="I31" s="286">
        <f t="shared" si="6"/>
        <v>60.008470919999993</v>
      </c>
      <c r="J31" s="286">
        <f t="shared" si="6"/>
        <v>297.70416000000006</v>
      </c>
      <c r="K31" s="286">
        <f t="shared" si="6"/>
        <v>61.292772214629835</v>
      </c>
      <c r="L31" s="286">
        <f>L32*L33/1000</f>
        <v>452.27734772219998</v>
      </c>
      <c r="M31" s="1092">
        <f>M32*M33/1000-0.017</f>
        <v>1338.6269200000002</v>
      </c>
      <c r="N31" s="286">
        <f t="shared" si="6"/>
        <v>0</v>
      </c>
      <c r="O31" s="286">
        <f t="shared" si="6"/>
        <v>531.65327155200009</v>
      </c>
      <c r="P31" s="286">
        <f t="shared" si="6"/>
        <v>0</v>
      </c>
      <c r="Q31" s="286">
        <f t="shared" si="6"/>
        <v>173.98815300000001</v>
      </c>
      <c r="R31" s="286">
        <f t="shared" si="6"/>
        <v>0</v>
      </c>
      <c r="S31" s="286">
        <f t="shared" si="6"/>
        <v>170.48852955000001</v>
      </c>
      <c r="T31" s="286">
        <f t="shared" si="6"/>
        <v>0</v>
      </c>
      <c r="U31" s="286">
        <f t="shared" si="6"/>
        <v>173.89821015000001</v>
      </c>
      <c r="V31" s="286">
        <f t="shared" si="6"/>
        <v>0</v>
      </c>
    </row>
    <row r="32" spans="2:22">
      <c r="B32" s="421" t="s">
        <v>178</v>
      </c>
      <c r="C32" s="24" t="s">
        <v>28</v>
      </c>
      <c r="D32" s="27" t="s">
        <v>29</v>
      </c>
      <c r="E32" s="422">
        <f>E31/E33*1000</f>
        <v>284153.84615384613</v>
      </c>
      <c r="F32" s="422">
        <f>F31/F33*1000</f>
        <v>548510.6382978725</v>
      </c>
      <c r="G32" s="422">
        <f>56.52/0.1*1000</f>
        <v>565200</v>
      </c>
      <c r="H32" s="422">
        <f>314.47/0.59*1000</f>
        <v>533000.00000000012</v>
      </c>
      <c r="I32" s="422">
        <f>G32*I7</f>
        <v>600084.70919999992</v>
      </c>
      <c r="J32" s="422">
        <v>551304</v>
      </c>
      <c r="K32" s="422">
        <f>I32*K7</f>
        <v>612927.72214629827</v>
      </c>
      <c r="L32" s="422">
        <v>401831.43</v>
      </c>
      <c r="M32" s="422">
        <v>364480</v>
      </c>
      <c r="N32" s="422"/>
      <c r="O32" s="422">
        <v>379059.20000000001</v>
      </c>
      <c r="P32" s="422"/>
      <c r="Q32" s="422">
        <v>386640.34</v>
      </c>
      <c r="R32" s="422"/>
      <c r="S32" s="422">
        <v>378863.39899999998</v>
      </c>
      <c r="T32" s="422"/>
      <c r="U32" s="422">
        <v>386440.467</v>
      </c>
      <c r="V32" s="422"/>
    </row>
    <row r="33" spans="2:24">
      <c r="B33" s="421" t="s">
        <v>899</v>
      </c>
      <c r="C33" s="24" t="s">
        <v>897</v>
      </c>
      <c r="D33" s="27" t="s">
        <v>31</v>
      </c>
      <c r="E33" s="422">
        <v>0.39</v>
      </c>
      <c r="F33" s="422">
        <v>0.47</v>
      </c>
      <c r="G33" s="422">
        <v>0.1</v>
      </c>
      <c r="H33" s="422">
        <v>0.59</v>
      </c>
      <c r="I33" s="422">
        <f>G33</f>
        <v>0.1</v>
      </c>
      <c r="J33" s="422">
        <v>0.54</v>
      </c>
      <c r="K33" s="422">
        <f>I33</f>
        <v>0.1</v>
      </c>
      <c r="L33" s="422">
        <v>1.12554</v>
      </c>
      <c r="M33" s="422">
        <v>3.6727500000000002</v>
      </c>
      <c r="N33" s="422"/>
      <c r="O33" s="422">
        <v>1.40256</v>
      </c>
      <c r="P33" s="422"/>
      <c r="Q33" s="422">
        <v>0.45</v>
      </c>
      <c r="R33" s="422"/>
      <c r="S33" s="422">
        <v>0.45</v>
      </c>
      <c r="T33" s="422"/>
      <c r="U33" s="422">
        <v>0.45</v>
      </c>
      <c r="V33" s="422"/>
    </row>
    <row r="34" spans="2:24">
      <c r="B34" s="421" t="s">
        <v>186</v>
      </c>
      <c r="C34" s="164" t="s">
        <v>912</v>
      </c>
      <c r="D34" s="27" t="s">
        <v>22</v>
      </c>
      <c r="E34" s="286">
        <v>949.6</v>
      </c>
      <c r="F34" s="286">
        <v>1657.68</v>
      </c>
      <c r="G34" s="286">
        <f>G35*G36/1000+0.01</f>
        <v>1351.46</v>
      </c>
      <c r="H34" s="286">
        <f>H35*H36/1000</f>
        <v>719.94</v>
      </c>
      <c r="I34" s="286">
        <f>I35*I36/1000+0.06</f>
        <v>1434.9228454499998</v>
      </c>
      <c r="J34" s="286">
        <f>J35*J36/1000+0.06</f>
        <v>862.71398759999988</v>
      </c>
      <c r="K34" s="286">
        <f t="shared" ref="K34:V34" si="7">K35*K36/1000</f>
        <v>1465.571780068321</v>
      </c>
      <c r="L34" s="286">
        <f t="shared" si="7"/>
        <v>1091.7507644549999</v>
      </c>
      <c r="M34" s="286">
        <f t="shared" si="7"/>
        <v>696.68306800000005</v>
      </c>
      <c r="N34" s="286">
        <f t="shared" si="7"/>
        <v>0</v>
      </c>
      <c r="O34" s="286">
        <f t="shared" si="7"/>
        <v>1541.5965700000002</v>
      </c>
      <c r="P34" s="286">
        <f t="shared" si="7"/>
        <v>0</v>
      </c>
      <c r="Q34" s="286">
        <f t="shared" si="7"/>
        <v>1572.42851</v>
      </c>
      <c r="R34" s="286">
        <f t="shared" si="7"/>
        <v>0</v>
      </c>
      <c r="S34" s="286">
        <f t="shared" si="7"/>
        <v>1603.87708</v>
      </c>
      <c r="T34" s="286">
        <f t="shared" si="7"/>
        <v>0</v>
      </c>
      <c r="U34" s="286">
        <f t="shared" si="7"/>
        <v>1635.9546200000002</v>
      </c>
      <c r="V34" s="286">
        <f t="shared" si="7"/>
        <v>0</v>
      </c>
    </row>
    <row r="35" spans="2:24">
      <c r="B35" s="421" t="s">
        <v>188</v>
      </c>
      <c r="C35" s="24" t="s">
        <v>28</v>
      </c>
      <c r="D35" s="27" t="s">
        <v>29</v>
      </c>
      <c r="E35" s="422">
        <f>E34/E36*1000</f>
        <v>129549.79536152797</v>
      </c>
      <c r="F35" s="422">
        <f>F34/F36*1000</f>
        <v>223106.32570659491</v>
      </c>
      <c r="G35" s="422">
        <f>1351.45/5.9*1000</f>
        <v>229059.32203389829</v>
      </c>
      <c r="H35" s="422">
        <f>719.94/4.33*1000</f>
        <v>166267.89838337182</v>
      </c>
      <c r="I35" s="422">
        <f>G35*I7</f>
        <v>243197.09244915252</v>
      </c>
      <c r="J35" s="422">
        <v>161243.736</v>
      </c>
      <c r="K35" s="422">
        <f>I35*K7</f>
        <v>248401.99662174928</v>
      </c>
      <c r="L35" s="422">
        <v>181188.41</v>
      </c>
      <c r="M35" s="422">
        <v>148230.44</v>
      </c>
      <c r="N35" s="422"/>
      <c r="O35" s="422">
        <v>154159.65700000001</v>
      </c>
      <c r="P35" s="422"/>
      <c r="Q35" s="422">
        <v>157242.851</v>
      </c>
      <c r="R35" s="422"/>
      <c r="S35" s="422">
        <v>160387.70800000001</v>
      </c>
      <c r="T35" s="422"/>
      <c r="U35" s="422">
        <v>163595.462</v>
      </c>
      <c r="V35" s="422"/>
    </row>
    <row r="36" spans="2:24">
      <c r="B36" s="421" t="s">
        <v>913</v>
      </c>
      <c r="C36" s="24" t="s">
        <v>897</v>
      </c>
      <c r="D36" s="27" t="s">
        <v>31</v>
      </c>
      <c r="E36" s="422">
        <v>7.33</v>
      </c>
      <c r="F36" s="422">
        <v>7.43</v>
      </c>
      <c r="G36" s="422">
        <v>5.9</v>
      </c>
      <c r="H36" s="422">
        <v>4.33</v>
      </c>
      <c r="I36" s="422">
        <f>G36</f>
        <v>5.9</v>
      </c>
      <c r="J36" s="422">
        <v>5.35</v>
      </c>
      <c r="K36" s="422">
        <f>I36</f>
        <v>5.9</v>
      </c>
      <c r="L36" s="422">
        <v>6.0255000000000001</v>
      </c>
      <c r="M36" s="422">
        <v>4.7</v>
      </c>
      <c r="N36" s="422"/>
      <c r="O36" s="422">
        <v>10</v>
      </c>
      <c r="P36" s="422"/>
      <c r="Q36" s="422">
        <v>10</v>
      </c>
      <c r="R36" s="422"/>
      <c r="S36" s="422">
        <v>10</v>
      </c>
      <c r="T36" s="422"/>
      <c r="U36" s="422">
        <v>10</v>
      </c>
      <c r="V36" s="422"/>
    </row>
    <row r="37" spans="2:24" ht="21">
      <c r="B37" s="421" t="s">
        <v>663</v>
      </c>
      <c r="C37" s="164" t="s">
        <v>914</v>
      </c>
      <c r="D37" s="27" t="s">
        <v>22</v>
      </c>
      <c r="E37" s="286">
        <f>9766.69</f>
        <v>9766.69</v>
      </c>
      <c r="F37" s="286">
        <f>14316.15</f>
        <v>14316.15</v>
      </c>
      <c r="G37" s="286">
        <f t="shared" ref="G37:V37" si="8">G38*G39/1000</f>
        <v>25666.51</v>
      </c>
      <c r="H37" s="286">
        <f t="shared" si="8"/>
        <v>39414.749999999993</v>
      </c>
      <c r="I37" s="286">
        <f t="shared" si="8"/>
        <v>27250.672663709996</v>
      </c>
      <c r="J37" s="286">
        <f t="shared" si="8"/>
        <v>41571.820922749997</v>
      </c>
      <c r="K37" s="286">
        <f t="shared" si="8"/>
        <v>27833.891560058713</v>
      </c>
      <c r="L37" s="286">
        <f t="shared" si="8"/>
        <v>42080.817109812502</v>
      </c>
      <c r="M37" s="1092">
        <f t="shared" si="8"/>
        <v>48440.940181983002</v>
      </c>
      <c r="N37" s="286">
        <f t="shared" si="8"/>
        <v>0</v>
      </c>
      <c r="O37" s="286">
        <f t="shared" si="8"/>
        <v>46712.253221824009</v>
      </c>
      <c r="P37" s="286">
        <f t="shared" si="8"/>
        <v>0</v>
      </c>
      <c r="Q37" s="286">
        <f t="shared" si="8"/>
        <v>48723.333116840004</v>
      </c>
      <c r="R37" s="286">
        <f t="shared" si="8"/>
        <v>0</v>
      </c>
      <c r="S37" s="286">
        <f t="shared" si="8"/>
        <v>49553.200949966995</v>
      </c>
      <c r="T37" s="286">
        <f t="shared" si="8"/>
        <v>0</v>
      </c>
      <c r="U37" s="286">
        <f t="shared" si="8"/>
        <v>50394.266401749999</v>
      </c>
      <c r="V37" s="286">
        <f t="shared" si="8"/>
        <v>0</v>
      </c>
    </row>
    <row r="38" spans="2:24">
      <c r="B38" s="421" t="s">
        <v>915</v>
      </c>
      <c r="C38" s="24" t="s">
        <v>28</v>
      </c>
      <c r="D38" s="27" t="s">
        <v>29</v>
      </c>
      <c r="E38" s="422">
        <f>9766.66/551.04*1000</f>
        <v>17724.04907084785</v>
      </c>
      <c r="F38" s="422">
        <f>14316.15/852.15*1000</f>
        <v>16800.035205069529</v>
      </c>
      <c r="G38" s="422">
        <f>25666.51/1489.05*1000</f>
        <v>17236.835566300662</v>
      </c>
      <c r="H38" s="422">
        <f>39414.75/2366.95*1000</f>
        <v>16652.126153911151</v>
      </c>
      <c r="I38" s="422">
        <f>G38*I7</f>
        <v>18300.710294288303</v>
      </c>
      <c r="J38" s="422">
        <v>17539.75</v>
      </c>
      <c r="K38" s="422">
        <f>I38*K7</f>
        <v>18692.382096006659</v>
      </c>
      <c r="L38" s="422">
        <v>18264.739000000001</v>
      </c>
      <c r="M38" s="422">
        <v>20480.877</v>
      </c>
      <c r="N38" s="422"/>
      <c r="O38" s="422">
        <v>21300.112000000001</v>
      </c>
      <c r="P38" s="422"/>
      <c r="Q38" s="422">
        <v>21726.115000000002</v>
      </c>
      <c r="R38" s="422"/>
      <c r="S38" s="422">
        <v>22160.636999999999</v>
      </c>
      <c r="T38" s="422"/>
      <c r="U38" s="422">
        <v>22603.85</v>
      </c>
      <c r="V38" s="422"/>
    </row>
    <row r="39" spans="2:24">
      <c r="B39" s="421" t="s">
        <v>916</v>
      </c>
      <c r="C39" s="24" t="s">
        <v>897</v>
      </c>
      <c r="D39" s="27" t="s">
        <v>31</v>
      </c>
      <c r="E39" s="422">
        <v>551.04</v>
      </c>
      <c r="F39" s="422">
        <v>852.16</v>
      </c>
      <c r="G39" s="422">
        <v>1489.05</v>
      </c>
      <c r="H39" s="422">
        <v>2366.9499999999998</v>
      </c>
      <c r="I39" s="422">
        <f>G39</f>
        <v>1489.05</v>
      </c>
      <c r="J39" s="422">
        <v>2370.1489999999999</v>
      </c>
      <c r="K39" s="422">
        <f>I39</f>
        <v>1489.05</v>
      </c>
      <c r="L39" s="422">
        <v>2303.9375</v>
      </c>
      <c r="M39" s="422">
        <v>2365.1790000000001</v>
      </c>
      <c r="N39" s="422"/>
      <c r="O39" s="422">
        <v>2193.0520000000001</v>
      </c>
      <c r="P39" s="422"/>
      <c r="Q39" s="422">
        <v>2242.616</v>
      </c>
      <c r="R39" s="422"/>
      <c r="S39" s="422">
        <v>2236.0909999999999</v>
      </c>
      <c r="T39" s="422"/>
      <c r="U39" s="422">
        <v>2229.4549999999999</v>
      </c>
      <c r="V39" s="422"/>
    </row>
    <row r="40" spans="2:24">
      <c r="B40" s="421" t="s">
        <v>917</v>
      </c>
      <c r="C40" s="164" t="s">
        <v>918</v>
      </c>
      <c r="D40" s="27" t="s">
        <v>22</v>
      </c>
      <c r="E40" s="286"/>
      <c r="F40" s="286">
        <f>1536.34</f>
        <v>1536.34</v>
      </c>
      <c r="G40" s="286">
        <f t="shared" ref="G40:T40" si="9">G41*G42/1000</f>
        <v>1735.37</v>
      </c>
      <c r="H40" s="286">
        <f t="shared" si="9"/>
        <v>4.8200000000000012</v>
      </c>
      <c r="I40" s="286">
        <f t="shared" si="9"/>
        <v>1842.4787717699999</v>
      </c>
      <c r="J40" s="286">
        <f t="shared" si="9"/>
        <v>6.47933</v>
      </c>
      <c r="K40" s="286">
        <f t="shared" si="9"/>
        <v>1881.9115024434213</v>
      </c>
      <c r="L40" s="286">
        <f t="shared" si="9"/>
        <v>0</v>
      </c>
      <c r="M40" s="286">
        <f t="shared" si="9"/>
        <v>0</v>
      </c>
      <c r="N40" s="286">
        <f t="shared" si="9"/>
        <v>0</v>
      </c>
      <c r="O40" s="286">
        <f t="shared" si="9"/>
        <v>1658.8523452479999</v>
      </c>
      <c r="P40" s="286">
        <f t="shared" si="9"/>
        <v>0</v>
      </c>
      <c r="Q40" s="286">
        <f t="shared" si="9"/>
        <v>2261.4509447599999</v>
      </c>
      <c r="R40" s="286">
        <f t="shared" si="9"/>
        <v>0</v>
      </c>
      <c r="S40" s="286">
        <f t="shared" si="9"/>
        <v>2299.6822689119999</v>
      </c>
      <c r="T40" s="286">
        <f t="shared" si="9"/>
        <v>0</v>
      </c>
      <c r="U40" s="286">
        <f>U41*U42/1000+0.279</f>
        <v>2339.0556156150001</v>
      </c>
      <c r="V40" s="286">
        <f>V41*V42/1000</f>
        <v>0</v>
      </c>
    </row>
    <row r="41" spans="2:24">
      <c r="B41" s="421" t="s">
        <v>919</v>
      </c>
      <c r="C41" s="24" t="s">
        <v>28</v>
      </c>
      <c r="D41" s="27" t="s">
        <v>29</v>
      </c>
      <c r="E41" s="422">
        <v>0</v>
      </c>
      <c r="F41" s="422">
        <v>7930</v>
      </c>
      <c r="G41" s="422">
        <f>1735.37*1000/147.08</f>
        <v>11798.816970356267</v>
      </c>
      <c r="H41" s="422">
        <f>4.82/0.6*1000</f>
        <v>8033.3333333333348</v>
      </c>
      <c r="I41" s="422">
        <f>G41*I7</f>
        <v>12527.051752583626</v>
      </c>
      <c r="J41" s="422">
        <v>9062</v>
      </c>
      <c r="K41" s="422">
        <f>I41*K7</f>
        <v>12795.15571419242</v>
      </c>
      <c r="L41" s="422">
        <v>9062</v>
      </c>
      <c r="M41" s="422">
        <v>9424.48</v>
      </c>
      <c r="N41" s="422"/>
      <c r="O41" s="422">
        <v>10193.518</v>
      </c>
      <c r="P41" s="422"/>
      <c r="Q41" s="422">
        <v>10397.379999999999</v>
      </c>
      <c r="R41" s="422"/>
      <c r="S41" s="422">
        <v>10605.335999999999</v>
      </c>
      <c r="T41" s="422"/>
      <c r="U41" s="422">
        <v>10817.403</v>
      </c>
      <c r="V41" s="422"/>
    </row>
    <row r="42" spans="2:24">
      <c r="B42" s="421" t="s">
        <v>920</v>
      </c>
      <c r="C42" s="24" t="s">
        <v>897</v>
      </c>
      <c r="D42" s="27" t="s">
        <v>31</v>
      </c>
      <c r="E42" s="422">
        <v>0</v>
      </c>
      <c r="F42" s="422">
        <v>193.64</v>
      </c>
      <c r="G42" s="422">
        <v>147.08000000000001</v>
      </c>
      <c r="H42" s="422">
        <v>0.6</v>
      </c>
      <c r="I42" s="422">
        <f>G42</f>
        <v>147.08000000000001</v>
      </c>
      <c r="J42" s="422">
        <v>0.71499999999999997</v>
      </c>
      <c r="K42" s="422">
        <f>I42</f>
        <v>147.08000000000001</v>
      </c>
      <c r="L42" s="422">
        <v>0</v>
      </c>
      <c r="M42" s="422">
        <v>0</v>
      </c>
      <c r="N42" s="422"/>
      <c r="O42" s="422">
        <v>162.73599999999999</v>
      </c>
      <c r="P42" s="422"/>
      <c r="Q42" s="422">
        <v>217.50200000000001</v>
      </c>
      <c r="R42" s="422"/>
      <c r="S42" s="422">
        <v>216.84200000000001</v>
      </c>
      <c r="T42" s="422"/>
      <c r="U42" s="422">
        <v>216.20500000000001</v>
      </c>
      <c r="V42" s="422"/>
    </row>
    <row r="43" spans="2:24">
      <c r="B43" s="421" t="s">
        <v>921</v>
      </c>
      <c r="C43" s="164" t="s">
        <v>922</v>
      </c>
      <c r="D43" s="27" t="s">
        <v>22</v>
      </c>
      <c r="E43" s="286"/>
      <c r="F43" s="286">
        <v>27.95</v>
      </c>
      <c r="G43" s="286">
        <f>G44*G45/1000</f>
        <v>9.44</v>
      </c>
      <c r="H43" s="286">
        <f>H44*H45/1000</f>
        <v>4.63</v>
      </c>
      <c r="I43" s="286">
        <f>I44*I45/1000</f>
        <v>10.02264624</v>
      </c>
      <c r="J43" s="286"/>
      <c r="K43" s="286">
        <f t="shared" ref="K43:V43" si="10">K44*K45/1000</f>
        <v>10.237150914828479</v>
      </c>
      <c r="L43" s="286">
        <f t="shared" si="10"/>
        <v>0</v>
      </c>
      <c r="M43" s="286">
        <f t="shared" si="10"/>
        <v>0</v>
      </c>
      <c r="N43" s="286">
        <f t="shared" si="10"/>
        <v>0</v>
      </c>
      <c r="O43" s="286">
        <f t="shared" si="10"/>
        <v>4.5909759999999995</v>
      </c>
      <c r="P43" s="286">
        <f t="shared" si="10"/>
        <v>0</v>
      </c>
      <c r="Q43" s="286">
        <f t="shared" si="10"/>
        <v>4.6827955200000009</v>
      </c>
      <c r="R43" s="286">
        <f t="shared" si="10"/>
        <v>0</v>
      </c>
      <c r="S43" s="286">
        <f t="shared" si="10"/>
        <v>4.7764514799999995</v>
      </c>
      <c r="T43" s="286">
        <f t="shared" si="10"/>
        <v>0</v>
      </c>
      <c r="U43" s="286">
        <f t="shared" si="10"/>
        <v>4.8719802120000004</v>
      </c>
      <c r="V43" s="286">
        <f t="shared" si="10"/>
        <v>0</v>
      </c>
    </row>
    <row r="44" spans="2:24">
      <c r="B44" s="421" t="s">
        <v>923</v>
      </c>
      <c r="C44" s="24" t="s">
        <v>28</v>
      </c>
      <c r="D44" s="27" t="s">
        <v>29</v>
      </c>
      <c r="E44" s="422">
        <v>0</v>
      </c>
      <c r="F44" s="422">
        <f>F43/F45*1000</f>
        <v>89012.738853503179</v>
      </c>
      <c r="G44" s="422">
        <f>9.44/0.12*1000</f>
        <v>78666.666666666672</v>
      </c>
      <c r="H44" s="422">
        <f>4.63/0.05*1000</f>
        <v>92600</v>
      </c>
      <c r="I44" s="422">
        <f>G44*I7</f>
        <v>83522.051999999996</v>
      </c>
      <c r="J44" s="422" t="e">
        <f>J43/J45*1000</f>
        <v>#DIV/0!</v>
      </c>
      <c r="K44" s="422">
        <f>I44*K7</f>
        <v>85309.590956903994</v>
      </c>
      <c r="L44" s="422">
        <v>35600</v>
      </c>
      <c r="M44" s="422">
        <v>37024</v>
      </c>
      <c r="N44" s="422"/>
      <c r="O44" s="422">
        <v>37024</v>
      </c>
      <c r="P44" s="422"/>
      <c r="Q44" s="422">
        <v>37764.480000000003</v>
      </c>
      <c r="R44" s="422"/>
      <c r="S44" s="422">
        <v>38519.769999999997</v>
      </c>
      <c r="T44" s="422"/>
      <c r="U44" s="422">
        <v>39290.163</v>
      </c>
      <c r="V44" s="422"/>
    </row>
    <row r="45" spans="2:24">
      <c r="B45" s="421" t="s">
        <v>924</v>
      </c>
      <c r="C45" s="24" t="s">
        <v>897</v>
      </c>
      <c r="D45" s="27" t="s">
        <v>31</v>
      </c>
      <c r="E45" s="422">
        <v>0</v>
      </c>
      <c r="F45" s="422">
        <v>0.314</v>
      </c>
      <c r="G45" s="422">
        <v>0.12</v>
      </c>
      <c r="H45" s="422">
        <v>0.05</v>
      </c>
      <c r="I45" s="422">
        <f>G45</f>
        <v>0.12</v>
      </c>
      <c r="J45" s="422"/>
      <c r="K45" s="422">
        <f>I45</f>
        <v>0.12</v>
      </c>
      <c r="L45" s="422">
        <v>0</v>
      </c>
      <c r="M45" s="422">
        <v>0</v>
      </c>
      <c r="N45" s="422"/>
      <c r="O45" s="422">
        <v>0.124</v>
      </c>
      <c r="P45" s="422"/>
      <c r="Q45" s="422">
        <v>0.124</v>
      </c>
      <c r="R45" s="422"/>
      <c r="S45" s="422">
        <v>0.124</v>
      </c>
      <c r="T45" s="422"/>
      <c r="U45" s="422">
        <v>0.124</v>
      </c>
      <c r="V45" s="422"/>
      <c r="X45">
        <f>142580.517-142398.58</f>
        <v>181.93700000000536</v>
      </c>
    </row>
    <row r="46" spans="2:24">
      <c r="B46" s="421" t="s">
        <v>37</v>
      </c>
      <c r="C46" s="164" t="s">
        <v>925</v>
      </c>
      <c r="D46" s="27" t="s">
        <v>22</v>
      </c>
      <c r="E46" s="286"/>
      <c r="F46" s="286"/>
      <c r="G46" s="286"/>
      <c r="H46" s="286"/>
      <c r="I46" s="286"/>
      <c r="J46" s="286">
        <f t="shared" ref="J46:V46" si="11">J47*J48/1000</f>
        <v>24418.294999999998</v>
      </c>
      <c r="K46" s="286">
        <f t="shared" si="11"/>
        <v>0</v>
      </c>
      <c r="L46" s="286">
        <f t="shared" si="11"/>
        <v>30268.122500000001</v>
      </c>
      <c r="M46" s="286">
        <f>M47*M48/1000</f>
        <v>32311.427500000002</v>
      </c>
      <c r="N46" s="286">
        <f t="shared" si="11"/>
        <v>0</v>
      </c>
      <c r="O46" s="286">
        <f t="shared" si="11"/>
        <v>15551.055519999998</v>
      </c>
      <c r="P46" s="286">
        <f t="shared" si="11"/>
        <v>0</v>
      </c>
      <c r="Q46" s="286">
        <f t="shared" si="11"/>
        <v>0</v>
      </c>
      <c r="R46" s="286">
        <f t="shared" si="11"/>
        <v>0</v>
      </c>
      <c r="S46" s="286">
        <f t="shared" si="11"/>
        <v>0</v>
      </c>
      <c r="T46" s="286">
        <f t="shared" si="11"/>
        <v>0</v>
      </c>
      <c r="U46" s="286">
        <f t="shared" si="11"/>
        <v>0</v>
      </c>
      <c r="V46" s="286">
        <f t="shared" si="11"/>
        <v>0</v>
      </c>
    </row>
    <row r="47" spans="2:24">
      <c r="B47" s="421" t="s">
        <v>41</v>
      </c>
      <c r="C47" s="24" t="s">
        <v>28</v>
      </c>
      <c r="D47" s="27" t="s">
        <v>29</v>
      </c>
      <c r="E47" s="422" t="e">
        <f>E46/E48*1000</f>
        <v>#DIV/0!</v>
      </c>
      <c r="F47" s="422" t="e">
        <f>F46/F48*1000</f>
        <v>#DIV/0!</v>
      </c>
      <c r="G47" s="422" t="e">
        <f>G46/G48*1000</f>
        <v>#DIV/0!</v>
      </c>
      <c r="H47" s="422" t="e">
        <f>H46/H48*1000</f>
        <v>#DIV/0!</v>
      </c>
      <c r="I47" s="422" t="e">
        <f>I46/I48*1000</f>
        <v>#DIV/0!</v>
      </c>
      <c r="J47" s="422">
        <v>53350</v>
      </c>
      <c r="K47" s="422"/>
      <c r="L47" s="422">
        <v>53350</v>
      </c>
      <c r="M47" s="422">
        <v>53350</v>
      </c>
      <c r="N47" s="422"/>
      <c r="O47" s="422">
        <v>55484</v>
      </c>
      <c r="P47" s="422"/>
      <c r="Q47" s="422">
        <f>O47*Q7</f>
        <v>56593.68</v>
      </c>
      <c r="R47" s="422"/>
      <c r="S47" s="422">
        <f>Q47*S7</f>
        <v>57725.553599999999</v>
      </c>
      <c r="T47" s="422"/>
      <c r="U47" s="422">
        <f>S47*U7</f>
        <v>58880.064672</v>
      </c>
      <c r="V47" s="422"/>
    </row>
    <row r="48" spans="2:24">
      <c r="B48" s="421" t="s">
        <v>899</v>
      </c>
      <c r="C48" s="24" t="s">
        <v>897</v>
      </c>
      <c r="D48" s="27" t="s">
        <v>31</v>
      </c>
      <c r="E48" s="422"/>
      <c r="F48" s="422"/>
      <c r="G48" s="422"/>
      <c r="H48" s="422"/>
      <c r="I48" s="422"/>
      <c r="J48" s="422">
        <v>457.7</v>
      </c>
      <c r="K48" s="422"/>
      <c r="L48" s="422">
        <v>567.35</v>
      </c>
      <c r="M48" s="422">
        <v>605.65</v>
      </c>
      <c r="N48" s="422"/>
      <c r="O48" s="422">
        <v>280.27999999999997</v>
      </c>
      <c r="P48" s="422"/>
      <c r="Q48" s="422">
        <v>0</v>
      </c>
      <c r="R48" s="422"/>
      <c r="S48" s="422">
        <f>Q48</f>
        <v>0</v>
      </c>
      <c r="T48" s="422"/>
      <c r="U48" s="422">
        <f>S48</f>
        <v>0</v>
      </c>
      <c r="V48" s="422"/>
    </row>
    <row r="49" spans="2:22" hidden="1">
      <c r="B49" s="421" t="s">
        <v>37</v>
      </c>
      <c r="C49" s="164" t="s">
        <v>922</v>
      </c>
      <c r="D49" s="27" t="s">
        <v>22</v>
      </c>
      <c r="E49" s="286"/>
      <c r="F49" s="286"/>
      <c r="G49" s="286"/>
      <c r="H49" s="286"/>
      <c r="I49" s="286"/>
      <c r="J49" s="286"/>
      <c r="K49" s="286">
        <f t="shared" ref="K49:V49" si="12">K50*K51/1000</f>
        <v>0</v>
      </c>
      <c r="L49" s="286">
        <f t="shared" si="12"/>
        <v>0</v>
      </c>
      <c r="M49" s="286">
        <f t="shared" si="12"/>
        <v>0</v>
      </c>
      <c r="N49" s="286">
        <f t="shared" si="12"/>
        <v>0</v>
      </c>
      <c r="O49" s="286">
        <f t="shared" si="12"/>
        <v>0</v>
      </c>
      <c r="P49" s="286">
        <f t="shared" si="12"/>
        <v>0</v>
      </c>
      <c r="Q49" s="286">
        <f t="shared" si="12"/>
        <v>0</v>
      </c>
      <c r="R49" s="286">
        <f t="shared" si="12"/>
        <v>0</v>
      </c>
      <c r="S49" s="286">
        <f t="shared" si="12"/>
        <v>0</v>
      </c>
      <c r="T49" s="286">
        <f t="shared" si="12"/>
        <v>0</v>
      </c>
      <c r="U49" s="286">
        <f t="shared" si="12"/>
        <v>0</v>
      </c>
      <c r="V49" s="286">
        <f t="shared" si="12"/>
        <v>0</v>
      </c>
    </row>
    <row r="50" spans="2:22" hidden="1">
      <c r="B50" s="421" t="s">
        <v>41</v>
      </c>
      <c r="C50" s="24" t="s">
        <v>28</v>
      </c>
      <c r="D50" s="27" t="s">
        <v>29</v>
      </c>
      <c r="E50" s="422" t="e">
        <f t="shared" ref="E50:J50" si="13">E49/E51*1000</f>
        <v>#DIV/0!</v>
      </c>
      <c r="F50" s="422" t="e">
        <f t="shared" si="13"/>
        <v>#DIV/0!</v>
      </c>
      <c r="G50" s="422" t="e">
        <f t="shared" si="13"/>
        <v>#DIV/0!</v>
      </c>
      <c r="H50" s="422" t="e">
        <f t="shared" si="13"/>
        <v>#DIV/0!</v>
      </c>
      <c r="I50" s="422" t="e">
        <f t="shared" si="13"/>
        <v>#DIV/0!</v>
      </c>
      <c r="J50" s="422" t="e">
        <f t="shared" si="13"/>
        <v>#DIV/0!</v>
      </c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</row>
    <row r="51" spans="2:22" hidden="1">
      <c r="B51" s="421" t="s">
        <v>899</v>
      </c>
      <c r="C51" s="24" t="s">
        <v>897</v>
      </c>
      <c r="D51" s="27" t="s">
        <v>31</v>
      </c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</row>
    <row r="52" spans="2:22" hidden="1">
      <c r="B52" s="421" t="s">
        <v>37</v>
      </c>
      <c r="C52" s="164" t="s">
        <v>922</v>
      </c>
      <c r="D52" s="27" t="s">
        <v>22</v>
      </c>
      <c r="E52" s="286"/>
      <c r="F52" s="286"/>
      <c r="G52" s="286"/>
      <c r="H52" s="286"/>
      <c r="I52" s="286"/>
      <c r="J52" s="286"/>
      <c r="K52" s="286">
        <f t="shared" ref="K52:V52" si="14">K53*K54/1000</f>
        <v>0</v>
      </c>
      <c r="L52" s="286">
        <f t="shared" si="14"/>
        <v>0</v>
      </c>
      <c r="M52" s="286">
        <f t="shared" si="14"/>
        <v>0</v>
      </c>
      <c r="N52" s="286">
        <f t="shared" si="14"/>
        <v>0</v>
      </c>
      <c r="O52" s="286">
        <f t="shared" si="14"/>
        <v>0</v>
      </c>
      <c r="P52" s="286">
        <f t="shared" si="14"/>
        <v>0</v>
      </c>
      <c r="Q52" s="286">
        <f t="shared" si="14"/>
        <v>0</v>
      </c>
      <c r="R52" s="286">
        <f t="shared" si="14"/>
        <v>0</v>
      </c>
      <c r="S52" s="286">
        <f t="shared" si="14"/>
        <v>0</v>
      </c>
      <c r="T52" s="286">
        <f t="shared" si="14"/>
        <v>0</v>
      </c>
      <c r="U52" s="286">
        <f t="shared" si="14"/>
        <v>0</v>
      </c>
      <c r="V52" s="286">
        <f t="shared" si="14"/>
        <v>0</v>
      </c>
    </row>
    <row r="53" spans="2:22" hidden="1">
      <c r="B53" s="421" t="s">
        <v>41</v>
      </c>
      <c r="C53" s="24" t="s">
        <v>28</v>
      </c>
      <c r="D53" s="27" t="s">
        <v>29</v>
      </c>
      <c r="E53" s="422" t="e">
        <f t="shared" ref="E53:J53" si="15">E52/E54*1000</f>
        <v>#DIV/0!</v>
      </c>
      <c r="F53" s="422" t="e">
        <f t="shared" si="15"/>
        <v>#DIV/0!</v>
      </c>
      <c r="G53" s="422" t="e">
        <f t="shared" si="15"/>
        <v>#DIV/0!</v>
      </c>
      <c r="H53" s="422" t="e">
        <f t="shared" si="15"/>
        <v>#DIV/0!</v>
      </c>
      <c r="I53" s="422" t="e">
        <f t="shared" si="15"/>
        <v>#DIV/0!</v>
      </c>
      <c r="J53" s="422" t="e">
        <f t="shared" si="15"/>
        <v>#DIV/0!</v>
      </c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</row>
    <row r="54" spans="2:22" hidden="1">
      <c r="B54" s="421" t="s">
        <v>899</v>
      </c>
      <c r="C54" s="24" t="s">
        <v>897</v>
      </c>
      <c r="D54" s="27" t="s">
        <v>31</v>
      </c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</row>
    <row r="55" spans="2:22" hidden="1">
      <c r="B55" s="421" t="s">
        <v>37</v>
      </c>
      <c r="C55" s="164" t="s">
        <v>922</v>
      </c>
      <c r="D55" s="27" t="s">
        <v>22</v>
      </c>
      <c r="E55" s="286"/>
      <c r="F55" s="286"/>
      <c r="G55" s="286"/>
      <c r="H55" s="286"/>
      <c r="I55" s="286"/>
      <c r="J55" s="286"/>
      <c r="K55" s="286">
        <f t="shared" ref="K55:V55" si="16">K56*K57/1000</f>
        <v>0</v>
      </c>
      <c r="L55" s="286">
        <f t="shared" si="16"/>
        <v>0</v>
      </c>
      <c r="M55" s="286">
        <f t="shared" si="16"/>
        <v>0</v>
      </c>
      <c r="N55" s="286">
        <f t="shared" si="16"/>
        <v>0</v>
      </c>
      <c r="O55" s="286">
        <f t="shared" si="16"/>
        <v>0</v>
      </c>
      <c r="P55" s="286">
        <f t="shared" si="16"/>
        <v>0</v>
      </c>
      <c r="Q55" s="286">
        <f t="shared" si="16"/>
        <v>0</v>
      </c>
      <c r="R55" s="286">
        <f t="shared" si="16"/>
        <v>0</v>
      </c>
      <c r="S55" s="286">
        <f t="shared" si="16"/>
        <v>0</v>
      </c>
      <c r="T55" s="286">
        <f t="shared" si="16"/>
        <v>0</v>
      </c>
      <c r="U55" s="286">
        <f t="shared" si="16"/>
        <v>0</v>
      </c>
      <c r="V55" s="286">
        <f t="shared" si="16"/>
        <v>0</v>
      </c>
    </row>
    <row r="56" spans="2:22" hidden="1">
      <c r="B56" s="421" t="s">
        <v>41</v>
      </c>
      <c r="C56" s="24" t="s">
        <v>28</v>
      </c>
      <c r="D56" s="27" t="s">
        <v>29</v>
      </c>
      <c r="E56" s="422" t="e">
        <f t="shared" ref="E56:J56" si="17">E55/E57*1000</f>
        <v>#DIV/0!</v>
      </c>
      <c r="F56" s="422" t="e">
        <f t="shared" si="17"/>
        <v>#DIV/0!</v>
      </c>
      <c r="G56" s="422" t="e">
        <f t="shared" si="17"/>
        <v>#DIV/0!</v>
      </c>
      <c r="H56" s="422" t="e">
        <f t="shared" si="17"/>
        <v>#DIV/0!</v>
      </c>
      <c r="I56" s="422" t="e">
        <f t="shared" si="17"/>
        <v>#DIV/0!</v>
      </c>
      <c r="J56" s="422" t="e">
        <f t="shared" si="17"/>
        <v>#DIV/0!</v>
      </c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</row>
    <row r="57" spans="2:22" hidden="1">
      <c r="B57" s="421" t="s">
        <v>899</v>
      </c>
      <c r="C57" s="24" t="s">
        <v>897</v>
      </c>
      <c r="D57" s="27" t="s">
        <v>31</v>
      </c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</row>
    <row r="58" spans="2:22" hidden="1">
      <c r="B58" s="421"/>
      <c r="C58" s="24"/>
      <c r="D58" s="27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</row>
    <row r="59" spans="2:22" hidden="1">
      <c r="B59" s="421"/>
      <c r="C59" s="24"/>
      <c r="D59" s="27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</row>
    <row r="60" spans="2:22" hidden="1">
      <c r="B60" s="421"/>
      <c r="C60" s="24"/>
      <c r="D60" s="27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</row>
    <row r="61" spans="2:22" hidden="1">
      <c r="B61" s="421"/>
      <c r="C61" s="24"/>
      <c r="D61" s="27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</row>
    <row r="62" spans="2:22" hidden="1">
      <c r="B62" s="421"/>
      <c r="C62" s="24"/>
      <c r="D62" s="27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</row>
    <row r="63" spans="2:22" hidden="1">
      <c r="B63" s="421"/>
      <c r="C63" s="24"/>
      <c r="D63" s="27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</row>
    <row r="64" spans="2:22" hidden="1">
      <c r="B64" s="421"/>
      <c r="C64" s="24"/>
      <c r="D64" s="27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</row>
    <row r="65" spans="2:22">
      <c r="B65" s="421"/>
      <c r="C65" s="159" t="s">
        <v>926</v>
      </c>
      <c r="D65" s="424" t="s">
        <v>22</v>
      </c>
      <c r="E65" s="181">
        <f>E13+E16+E19+E22+E25+E28+E31+E34+E37+E40+E43+E46+E49+E52+E55+28.59</f>
        <v>75317.132345999984</v>
      </c>
      <c r="F65" s="181">
        <f>F13+F16+F19+F22+F25+F28+F31+F34+F37+F40+F43+F46+F49+F52+F55-0.06</f>
        <v>89159.202000446021</v>
      </c>
      <c r="G65" s="181">
        <f>G13+G16+G19+G22+G25+G28+G31+G34+G37+G40+G43+G46+G49+G52+G55</f>
        <v>98678.530000000013</v>
      </c>
      <c r="H65" s="181">
        <f>H13+H16+H19+H22+H25+H28+H31+H34+H37+H40+H43+H46+H49+H52+H55</f>
        <v>133628.00000000003</v>
      </c>
      <c r="I65" s="181">
        <f>I13+I16+I19+I22+I25+I28+I31+I34+I37+I40+I43+I46+I49+I52+I55+0.03</f>
        <v>104769.14693291999</v>
      </c>
      <c r="J65" s="181">
        <f>J13+J16+J19+J22+J25+J28+J31+J34+J37+J40+J43+J46+J49+J52+J55-6</f>
        <v>146193.62983198999</v>
      </c>
      <c r="K65" s="181">
        <f>K13+K16+K19+K22+K25+K28+K31+K34+K37+K40+K43+K46+K49+K52+K55+0.01</f>
        <v>107559.1503359636</v>
      </c>
      <c r="L65" s="181">
        <f>L13+L16+L19+L22+L25+L28+L31+L34+L37+L40+L43+L46+L49+L52+L55+0.16</f>
        <v>125321.7037984397</v>
      </c>
      <c r="M65" s="181">
        <f>M13+M16+M19+M22+M25+M28+M31+M34+M37+M40+M43+M46+M49+M52+M55+0.02</f>
        <v>130737.14202592397</v>
      </c>
      <c r="N65" s="181">
        <f>'К ВС'!Q10</f>
        <v>127361.34713974211</v>
      </c>
      <c r="O65" s="181">
        <f>O13+O16+O19+O22+O25+O28+O31+O34+O37+O40+O43+O46+O49+O52+O55+0.02+181.937</f>
        <v>142580.51873104725</v>
      </c>
      <c r="P65" s="181">
        <f>P13+P16+P19+P22+P25+P28+P31+P34+P37+P40+P43+P46+P49+P52+P55</f>
        <v>0</v>
      </c>
      <c r="Q65" s="181">
        <f>Q13+Q16+Q19+Q22+Q25+Q28+Q31+Q34+Q37+Q40+Q43+Q46+Q49+Q52+Q55-0.02</f>
        <v>149360.72571690127</v>
      </c>
      <c r="R65" s="181">
        <f>R13+R16+R19+R22+R25+R28+R31+R34+R37+R40+R43+R46+R49+R52+R55</f>
        <v>0</v>
      </c>
      <c r="S65" s="181">
        <f>S13+S16+S19+S22+S25+S28+S31+S34+S37+S40+S43+S46+S49+S52+S55+6.8+0.05</f>
        <v>151897.27704632777</v>
      </c>
      <c r="T65" s="181">
        <f>T13+T16+T19+T22+T25+T28+T31+T34+T37+T40+T43+T46+T49+T52+T55</f>
        <v>0</v>
      </c>
      <c r="U65" s="181">
        <f>U13+U16+U19+U22+U25+U28+U31+U34+U37+U40+U43+U46+U49+U52+U55+7.042</f>
        <v>154491.0501546344</v>
      </c>
      <c r="V65" s="181">
        <f>V13+V16+V19+V22+V25+V28+V31+V34+V37+V40+V43+V46+V49+V52+V55</f>
        <v>0</v>
      </c>
    </row>
    <row r="66" spans="2:22" ht="45">
      <c r="B66" s="425" t="s">
        <v>815</v>
      </c>
      <c r="C66" s="159" t="s">
        <v>927</v>
      </c>
      <c r="D66" s="426"/>
      <c r="E66" s="286"/>
      <c r="F66" s="286"/>
      <c r="G66" s="286"/>
      <c r="H66" s="286"/>
      <c r="I66" s="286">
        <v>1.0295989999999999</v>
      </c>
      <c r="J66" s="286"/>
      <c r="K66" s="286">
        <v>1.0266299999999999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</row>
    <row r="67" spans="2:22">
      <c r="B67" s="421" t="s">
        <v>928</v>
      </c>
      <c r="C67" s="164" t="s">
        <v>929</v>
      </c>
      <c r="D67" s="27" t="s">
        <v>22</v>
      </c>
      <c r="E67" s="286">
        <f>E68*E69/1000+0.02</f>
        <v>3744.9888672152438</v>
      </c>
      <c r="F67" s="286">
        <f t="shared" ref="F67:V67" si="18">F68*F69/1000</f>
        <v>4665.51</v>
      </c>
      <c r="G67" s="286">
        <f t="shared" si="18"/>
        <v>4018.55</v>
      </c>
      <c r="H67" s="286">
        <f t="shared" si="18"/>
        <v>5968.2600000000011</v>
      </c>
      <c r="I67" s="286">
        <f t="shared" si="18"/>
        <v>4137.4950614499994</v>
      </c>
      <c r="J67" s="286">
        <f t="shared" si="18"/>
        <v>5109.4697389999992</v>
      </c>
      <c r="K67" s="286">
        <f t="shared" si="18"/>
        <v>4247.6765549364127</v>
      </c>
      <c r="L67" s="286">
        <f t="shared" si="18"/>
        <v>9061.7991279200014</v>
      </c>
      <c r="M67" s="286">
        <f t="shared" si="18"/>
        <v>8255.3392393976847</v>
      </c>
      <c r="N67" s="286">
        <f t="shared" si="18"/>
        <v>0</v>
      </c>
      <c r="O67" s="286">
        <f t="shared" si="18"/>
        <v>9262.4906266042017</v>
      </c>
      <c r="P67" s="286">
        <f t="shared" si="18"/>
        <v>0</v>
      </c>
      <c r="Q67" s="286">
        <f t="shared" si="18"/>
        <v>9447.7404391362852</v>
      </c>
      <c r="R67" s="286">
        <f t="shared" si="18"/>
        <v>0</v>
      </c>
      <c r="S67" s="286">
        <f t="shared" si="18"/>
        <v>9636.6952479190113</v>
      </c>
      <c r="T67" s="286">
        <f t="shared" si="18"/>
        <v>0</v>
      </c>
      <c r="U67" s="286">
        <f t="shared" si="18"/>
        <v>9829.429152877392</v>
      </c>
      <c r="V67" s="286">
        <f t="shared" si="18"/>
        <v>0</v>
      </c>
    </row>
    <row r="68" spans="2:22">
      <c r="B68" s="421"/>
      <c r="C68" s="24" t="s">
        <v>930</v>
      </c>
      <c r="D68" s="27" t="s">
        <v>931</v>
      </c>
      <c r="E68" s="422">
        <f>3744.99/129365*1000</f>
        <v>28.949020214122829</v>
      </c>
      <c r="F68" s="422">
        <f>4665.51/158206.5*1000</f>
        <v>29.490001991068635</v>
      </c>
      <c r="G68" s="422">
        <f>4018.55/135296*1000</f>
        <v>29.701912842951749</v>
      </c>
      <c r="H68" s="422">
        <f>5968.26/194532.5*1000</f>
        <v>30.680014907534733</v>
      </c>
      <c r="I68" s="422">
        <f>G68*I66</f>
        <v>30.581059761190275</v>
      </c>
      <c r="J68" s="422">
        <v>33.549999999999997</v>
      </c>
      <c r="K68" s="422">
        <f>I68*K66</f>
        <v>31.39543338263077</v>
      </c>
      <c r="L68" s="422">
        <v>37.093000000000004</v>
      </c>
      <c r="M68" s="422">
        <v>42.484400000000001</v>
      </c>
      <c r="N68" s="422"/>
      <c r="O68" s="422">
        <f>M68*O7</f>
        <v>43.334088000000001</v>
      </c>
      <c r="P68" s="422"/>
      <c r="Q68" s="422">
        <f>O68*Q7</f>
        <v>44.20076976</v>
      </c>
      <c r="R68" s="422"/>
      <c r="S68" s="422">
        <f>Q68*S7</f>
        <v>45.084785155200002</v>
      </c>
      <c r="T68" s="422"/>
      <c r="U68" s="422">
        <f>S68*U7</f>
        <v>45.986480858304006</v>
      </c>
      <c r="V68" s="422"/>
    </row>
    <row r="69" spans="2:22">
      <c r="B69" s="421"/>
      <c r="C69" s="24" t="s">
        <v>932</v>
      </c>
      <c r="D69" s="27" t="s">
        <v>933</v>
      </c>
      <c r="E69" s="422">
        <v>129364.27</v>
      </c>
      <c r="F69" s="422">
        <v>158206.5</v>
      </c>
      <c r="G69" s="422">
        <v>135296</v>
      </c>
      <c r="H69" s="422">
        <v>194532.5</v>
      </c>
      <c r="I69" s="422">
        <f>G69</f>
        <v>135296</v>
      </c>
      <c r="J69" s="427">
        <v>152294.18</v>
      </c>
      <c r="K69" s="427">
        <f>I69</f>
        <v>135296</v>
      </c>
      <c r="L69" s="427">
        <v>244299.44</v>
      </c>
      <c r="M69" s="422">
        <f>180215.8+84171.11-70072.30889</f>
        <v>194314.60110999999</v>
      </c>
      <c r="N69" s="422"/>
      <c r="O69" s="422">
        <f>M69*1.1</f>
        <v>213746.06122100001</v>
      </c>
      <c r="P69" s="422"/>
      <c r="Q69" s="422">
        <f>O69</f>
        <v>213746.06122100001</v>
      </c>
      <c r="R69" s="422"/>
      <c r="S69" s="422">
        <f>Q69</f>
        <v>213746.06122100001</v>
      </c>
      <c r="T69" s="422"/>
      <c r="U69" s="422">
        <f>S69</f>
        <v>213746.06122100001</v>
      </c>
      <c r="V69" s="422"/>
    </row>
    <row r="70" spans="2:22">
      <c r="B70" s="421" t="s">
        <v>202</v>
      </c>
      <c r="C70" s="164" t="s">
        <v>934</v>
      </c>
      <c r="D70" s="27" t="s">
        <v>22</v>
      </c>
      <c r="E70" s="286">
        <f t="shared" ref="E70:V70" si="19">E71*E72/1000</f>
        <v>3351.6900000000005</v>
      </c>
      <c r="F70" s="286">
        <f t="shared" si="19"/>
        <v>2560.96</v>
      </c>
      <c r="G70" s="286">
        <f t="shared" si="19"/>
        <v>3594.59</v>
      </c>
      <c r="H70" s="286">
        <f t="shared" si="19"/>
        <v>3617.06</v>
      </c>
      <c r="I70" s="286">
        <f t="shared" si="19"/>
        <v>3700.9862694099997</v>
      </c>
      <c r="J70" s="286">
        <f t="shared" si="19"/>
        <v>2713.7162984000001</v>
      </c>
      <c r="K70" s="286">
        <f t="shared" si="19"/>
        <v>3799.5435337643876</v>
      </c>
      <c r="L70" s="286">
        <f t="shared" si="19"/>
        <v>2825.0483052</v>
      </c>
      <c r="M70" s="286">
        <f t="shared" si="19"/>
        <v>2631.3376011999999</v>
      </c>
      <c r="N70" s="286">
        <f t="shared" si="19"/>
        <v>0</v>
      </c>
      <c r="O70" s="286">
        <f t="shared" si="19"/>
        <v>2683.9643532239998</v>
      </c>
      <c r="P70" s="286">
        <f t="shared" si="19"/>
        <v>0</v>
      </c>
      <c r="Q70" s="286">
        <f t="shared" si="19"/>
        <v>2737.6436402884801</v>
      </c>
      <c r="R70" s="286">
        <f t="shared" si="19"/>
        <v>0</v>
      </c>
      <c r="S70" s="286">
        <f t="shared" si="19"/>
        <v>2792.3965130942497</v>
      </c>
      <c r="T70" s="286">
        <f t="shared" si="19"/>
        <v>0</v>
      </c>
      <c r="U70" s="286">
        <f t="shared" si="19"/>
        <v>2848.2444433561345</v>
      </c>
      <c r="V70" s="286">
        <f t="shared" si="19"/>
        <v>0</v>
      </c>
    </row>
    <row r="71" spans="2:22">
      <c r="B71" s="421"/>
      <c r="C71" s="24" t="s">
        <v>930</v>
      </c>
      <c r="D71" s="27" t="s">
        <v>931</v>
      </c>
      <c r="E71" s="422">
        <f>3351.69/124.1</f>
        <v>27.007977437550366</v>
      </c>
      <c r="F71" s="422">
        <f>2560.96/88.5225</f>
        <v>28.93004603349431</v>
      </c>
      <c r="G71" s="422">
        <f>3594.59/123754.86*1000</f>
        <v>29.046051201544731</v>
      </c>
      <c r="H71" s="422">
        <f>3617.06/118709.06*1000</f>
        <v>30.469957389941424</v>
      </c>
      <c r="I71" s="422">
        <f>G71*I66</f>
        <v>29.905785271059251</v>
      </c>
      <c r="J71" s="422">
        <v>33.619999999999997</v>
      </c>
      <c r="K71" s="422">
        <f>I71*K66</f>
        <v>30.702176332827555</v>
      </c>
      <c r="L71" s="422">
        <v>35.67</v>
      </c>
      <c r="M71" s="422">
        <v>40.36</v>
      </c>
      <c r="N71" s="422"/>
      <c r="O71" s="422">
        <f>M71*O7</f>
        <v>41.167200000000001</v>
      </c>
      <c r="P71" s="422"/>
      <c r="Q71" s="422">
        <f>O71*Q7</f>
        <v>41.990544</v>
      </c>
      <c r="R71" s="422"/>
      <c r="S71" s="422">
        <f>Q71*S7</f>
        <v>42.830354880000002</v>
      </c>
      <c r="T71" s="422"/>
      <c r="U71" s="422">
        <f>S71*U7</f>
        <v>43.686961977599999</v>
      </c>
      <c r="V71" s="422"/>
    </row>
    <row r="72" spans="2:22">
      <c r="B72" s="421"/>
      <c r="C72" s="24" t="s">
        <v>932</v>
      </c>
      <c r="D72" s="27" t="s">
        <v>933</v>
      </c>
      <c r="E72" s="422">
        <v>124100</v>
      </c>
      <c r="F72" s="422">
        <v>88522.5</v>
      </c>
      <c r="G72" s="422">
        <v>123754.86</v>
      </c>
      <c r="H72" s="422">
        <v>118709.06</v>
      </c>
      <c r="I72" s="422">
        <f>G72</f>
        <v>123754.86</v>
      </c>
      <c r="J72" s="422">
        <v>80717.320000000007</v>
      </c>
      <c r="K72" s="422">
        <f>I72</f>
        <v>123754.86</v>
      </c>
      <c r="L72" s="422">
        <v>79199.56</v>
      </c>
      <c r="M72" s="422">
        <f>44112.21+21084.46</f>
        <v>65196.67</v>
      </c>
      <c r="N72" s="422"/>
      <c r="O72" s="422">
        <f>M72</f>
        <v>65196.67</v>
      </c>
      <c r="P72" s="422"/>
      <c r="Q72" s="422">
        <f>O72</f>
        <v>65196.67</v>
      </c>
      <c r="R72" s="422"/>
      <c r="S72" s="422">
        <f>Q72</f>
        <v>65196.67</v>
      </c>
      <c r="T72" s="422"/>
      <c r="U72" s="422">
        <f>S72</f>
        <v>65196.67</v>
      </c>
      <c r="V72" s="422"/>
    </row>
    <row r="73" spans="2:22">
      <c r="B73" s="421" t="s">
        <v>206</v>
      </c>
      <c r="C73" s="164" t="s">
        <v>935</v>
      </c>
      <c r="D73" s="27" t="s">
        <v>22</v>
      </c>
      <c r="E73" s="286">
        <f t="shared" ref="E73:V73" si="20">E74*E75/1000</f>
        <v>259.05999999999995</v>
      </c>
      <c r="F73" s="286">
        <f t="shared" si="20"/>
        <v>399.14</v>
      </c>
      <c r="G73" s="286">
        <f t="shared" si="20"/>
        <v>512.36</v>
      </c>
      <c r="H73" s="286">
        <f t="shared" si="20"/>
        <v>475.2</v>
      </c>
      <c r="I73" s="286">
        <f t="shared" si="20"/>
        <v>527.52534363999996</v>
      </c>
      <c r="J73" s="286">
        <f t="shared" si="20"/>
        <v>331.33215929999994</v>
      </c>
      <c r="K73" s="286">
        <f t="shared" si="20"/>
        <v>541.57334354113311</v>
      </c>
      <c r="L73" s="286">
        <f t="shared" si="20"/>
        <v>854.08473659999993</v>
      </c>
      <c r="M73" s="286">
        <f>M74*M75/1000-0.08</f>
        <v>934.38804360000006</v>
      </c>
      <c r="N73" s="286">
        <f t="shared" si="20"/>
        <v>0</v>
      </c>
      <c r="O73" s="286">
        <f t="shared" si="20"/>
        <v>953.15740447200017</v>
      </c>
      <c r="P73" s="286">
        <f t="shared" si="20"/>
        <v>0</v>
      </c>
      <c r="Q73" s="286">
        <f t="shared" si="20"/>
        <v>972.22055256144029</v>
      </c>
      <c r="R73" s="286">
        <f t="shared" si="20"/>
        <v>0</v>
      </c>
      <c r="S73" s="286">
        <f t="shared" si="20"/>
        <v>991.664963612669</v>
      </c>
      <c r="T73" s="286">
        <f t="shared" si="20"/>
        <v>0</v>
      </c>
      <c r="U73" s="286">
        <f t="shared" si="20"/>
        <v>1011.4982628849225</v>
      </c>
      <c r="V73" s="286">
        <f t="shared" si="20"/>
        <v>0</v>
      </c>
    </row>
    <row r="74" spans="2:22">
      <c r="B74" s="421"/>
      <c r="C74" s="24" t="s">
        <v>930</v>
      </c>
      <c r="D74" s="27" t="s">
        <v>931</v>
      </c>
      <c r="E74" s="422">
        <f>259.06/8.72</f>
        <v>29.708715596330272</v>
      </c>
      <c r="F74" s="422">
        <f>399.14/12.77665</f>
        <v>31.239800730238365</v>
      </c>
      <c r="G74" s="422">
        <f>512.36/16100*1000</f>
        <v>31.823602484472051</v>
      </c>
      <c r="H74" s="422">
        <f>475.2/14567.78*1000</f>
        <v>32.61993248113302</v>
      </c>
      <c r="I74" s="422">
        <f>G74*I66</f>
        <v>32.765549294409936</v>
      </c>
      <c r="J74" s="422">
        <v>35.33</v>
      </c>
      <c r="K74" s="422">
        <f>I74*K66</f>
        <v>33.638095872120068</v>
      </c>
      <c r="L74" s="422">
        <v>38.369999999999997</v>
      </c>
      <c r="M74" s="422">
        <v>42.77</v>
      </c>
      <c r="N74" s="422"/>
      <c r="O74" s="422">
        <f>M74*O7</f>
        <v>43.625400000000006</v>
      </c>
      <c r="P74" s="422"/>
      <c r="Q74" s="422">
        <f>O74*Q7</f>
        <v>44.49790800000001</v>
      </c>
      <c r="R74" s="422"/>
      <c r="S74" s="422">
        <f>Q74*S7</f>
        <v>45.387866160000009</v>
      </c>
      <c r="T74" s="422"/>
      <c r="U74" s="422">
        <f>S74*U7</f>
        <v>46.295623483200011</v>
      </c>
      <c r="V74" s="422"/>
    </row>
    <row r="75" spans="2:22">
      <c r="B75" s="421"/>
      <c r="C75" s="24" t="s">
        <v>932</v>
      </c>
      <c r="D75" s="27" t="s">
        <v>933</v>
      </c>
      <c r="E75" s="422">
        <v>8720</v>
      </c>
      <c r="F75" s="422">
        <v>12776.65</v>
      </c>
      <c r="G75" s="422">
        <v>16100</v>
      </c>
      <c r="H75" s="422">
        <v>14567.78</v>
      </c>
      <c r="I75" s="422">
        <v>16100</v>
      </c>
      <c r="J75" s="422">
        <v>9378.2099999999991</v>
      </c>
      <c r="K75" s="422">
        <f>I75</f>
        <v>16100</v>
      </c>
      <c r="L75" s="422">
        <v>22259.18</v>
      </c>
      <c r="M75" s="422">
        <v>21848.68</v>
      </c>
      <c r="N75" s="422"/>
      <c r="O75" s="422">
        <f>M75</f>
        <v>21848.68</v>
      </c>
      <c r="P75" s="422"/>
      <c r="Q75" s="422">
        <f>O75</f>
        <v>21848.68</v>
      </c>
      <c r="R75" s="422"/>
      <c r="S75" s="422">
        <f>Q75</f>
        <v>21848.68</v>
      </c>
      <c r="T75" s="422"/>
      <c r="U75" s="422">
        <f>S75</f>
        <v>21848.68</v>
      </c>
      <c r="V75" s="422"/>
    </row>
    <row r="76" spans="2:22">
      <c r="B76" s="421"/>
      <c r="C76" s="159" t="s">
        <v>936</v>
      </c>
      <c r="D76" s="424" t="s">
        <v>22</v>
      </c>
      <c r="E76" s="181">
        <f t="shared" ref="E76:J76" si="21">E67+E70+E73</f>
        <v>7355.7388672152447</v>
      </c>
      <c r="F76" s="181">
        <f t="shared" si="21"/>
        <v>7625.6100000000006</v>
      </c>
      <c r="G76" s="181">
        <f t="shared" si="21"/>
        <v>8125.5</v>
      </c>
      <c r="H76" s="181">
        <f t="shared" si="21"/>
        <v>10060.520000000002</v>
      </c>
      <c r="I76" s="181">
        <f t="shared" si="21"/>
        <v>8366.0066744999986</v>
      </c>
      <c r="J76" s="181">
        <f t="shared" si="21"/>
        <v>8154.518196699999</v>
      </c>
      <c r="K76" s="181">
        <f>K67+K70+K73+0.01</f>
        <v>8588.8034322419335</v>
      </c>
      <c r="L76" s="181">
        <f>L67+L70+L73+0.07</f>
        <v>12741.002169720001</v>
      </c>
      <c r="M76" s="181">
        <f t="shared" ref="M76:V76" si="22">M67+M70+M73</f>
        <v>11821.064884197684</v>
      </c>
      <c r="N76" s="181">
        <f>'К ВС'!Q14</f>
        <v>8759.9259366593997</v>
      </c>
      <c r="O76" s="181">
        <f t="shared" si="22"/>
        <v>12899.612384300202</v>
      </c>
      <c r="P76" s="181">
        <f>'К ВС'!U14</f>
        <v>9020.971729571851</v>
      </c>
      <c r="Q76" s="181">
        <f t="shared" si="22"/>
        <v>13157.604631986207</v>
      </c>
      <c r="R76" s="181">
        <f t="shared" si="22"/>
        <v>0</v>
      </c>
      <c r="S76" s="181">
        <f t="shared" si="22"/>
        <v>13420.75672462593</v>
      </c>
      <c r="T76" s="181">
        <f t="shared" si="22"/>
        <v>0</v>
      </c>
      <c r="U76" s="181">
        <f t="shared" si="22"/>
        <v>13689.171859118449</v>
      </c>
      <c r="V76" s="181">
        <f t="shared" si="22"/>
        <v>0</v>
      </c>
    </row>
    <row r="77" spans="2:22" ht="56.25">
      <c r="B77" s="425" t="s">
        <v>828</v>
      </c>
      <c r="C77" s="159" t="s">
        <v>937</v>
      </c>
      <c r="D77" s="420"/>
      <c r="E77" s="286"/>
      <c r="F77" s="286"/>
      <c r="G77" s="286"/>
      <c r="H77" s="286"/>
      <c r="I77" s="286"/>
      <c r="J77" s="286"/>
      <c r="K77" s="286"/>
      <c r="L77" s="286"/>
      <c r="M77" s="286">
        <v>2987</v>
      </c>
      <c r="N77" s="286"/>
      <c r="O77" s="286"/>
      <c r="P77" s="286"/>
      <c r="Q77" s="286"/>
      <c r="R77" s="286"/>
      <c r="S77" s="286"/>
      <c r="T77" s="286"/>
      <c r="U77" s="286"/>
      <c r="V77" s="286"/>
    </row>
    <row r="78" spans="2:22" hidden="1">
      <c r="B78" s="428" t="s">
        <v>226</v>
      </c>
      <c r="C78" s="164" t="s">
        <v>938</v>
      </c>
      <c r="D78" s="27" t="s">
        <v>22</v>
      </c>
      <c r="E78" s="286">
        <f t="shared" ref="E78:V78" si="23">E79*E80/1000</f>
        <v>219.66290000000001</v>
      </c>
      <c r="F78" s="286">
        <f t="shared" si="23"/>
        <v>0</v>
      </c>
      <c r="G78" s="286">
        <f t="shared" si="23"/>
        <v>0</v>
      </c>
      <c r="H78" s="286">
        <f t="shared" si="23"/>
        <v>0</v>
      </c>
      <c r="I78" s="286">
        <f t="shared" si="23"/>
        <v>0</v>
      </c>
      <c r="J78" s="286">
        <f t="shared" si="23"/>
        <v>0</v>
      </c>
      <c r="K78" s="286">
        <f t="shared" si="23"/>
        <v>0</v>
      </c>
      <c r="L78" s="286">
        <f t="shared" si="23"/>
        <v>0</v>
      </c>
      <c r="M78" s="286">
        <f t="shared" si="23"/>
        <v>0</v>
      </c>
      <c r="N78" s="286">
        <f t="shared" si="23"/>
        <v>0</v>
      </c>
      <c r="O78" s="286">
        <f t="shared" si="23"/>
        <v>0</v>
      </c>
      <c r="P78" s="286">
        <f t="shared" si="23"/>
        <v>0</v>
      </c>
      <c r="Q78" s="286">
        <f t="shared" si="23"/>
        <v>0</v>
      </c>
      <c r="R78" s="286">
        <f t="shared" si="23"/>
        <v>0</v>
      </c>
      <c r="S78" s="286">
        <f t="shared" si="23"/>
        <v>0</v>
      </c>
      <c r="T78" s="286">
        <f t="shared" si="23"/>
        <v>0</v>
      </c>
      <c r="U78" s="286">
        <f t="shared" si="23"/>
        <v>0</v>
      </c>
      <c r="V78" s="286">
        <f t="shared" si="23"/>
        <v>0</v>
      </c>
    </row>
    <row r="79" spans="2:22" hidden="1">
      <c r="B79" s="428"/>
      <c r="C79" s="24" t="s">
        <v>930</v>
      </c>
      <c r="D79" s="27" t="s">
        <v>931</v>
      </c>
      <c r="E79" s="422">
        <f>372.31</f>
        <v>372.31</v>
      </c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</row>
    <row r="80" spans="2:22" hidden="1">
      <c r="B80" s="428"/>
      <c r="C80" s="24" t="s">
        <v>932</v>
      </c>
      <c r="D80" s="27" t="s">
        <v>933</v>
      </c>
      <c r="E80" s="422">
        <v>590</v>
      </c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</row>
    <row r="81" spans="2:22" hidden="1">
      <c r="B81" s="428" t="s">
        <v>244</v>
      </c>
      <c r="C81" s="164" t="s">
        <v>939</v>
      </c>
      <c r="D81" s="27" t="s">
        <v>22</v>
      </c>
      <c r="E81" s="286">
        <f t="shared" ref="E81:V81" si="24">E82*E83/1000</f>
        <v>133.1944</v>
      </c>
      <c r="F81" s="286">
        <f t="shared" si="24"/>
        <v>0</v>
      </c>
      <c r="G81" s="286">
        <f t="shared" si="24"/>
        <v>0</v>
      </c>
      <c r="H81" s="286">
        <f t="shared" si="24"/>
        <v>0</v>
      </c>
      <c r="I81" s="286">
        <f t="shared" si="24"/>
        <v>0</v>
      </c>
      <c r="J81" s="286">
        <f t="shared" si="24"/>
        <v>0</v>
      </c>
      <c r="K81" s="286">
        <f t="shared" si="24"/>
        <v>0</v>
      </c>
      <c r="L81" s="286">
        <f t="shared" si="24"/>
        <v>0</v>
      </c>
      <c r="M81" s="286">
        <f t="shared" si="24"/>
        <v>0</v>
      </c>
      <c r="N81" s="286">
        <f t="shared" si="24"/>
        <v>0</v>
      </c>
      <c r="O81" s="286">
        <f t="shared" si="24"/>
        <v>0</v>
      </c>
      <c r="P81" s="286">
        <f t="shared" si="24"/>
        <v>0</v>
      </c>
      <c r="Q81" s="286">
        <f t="shared" si="24"/>
        <v>0</v>
      </c>
      <c r="R81" s="286">
        <f t="shared" si="24"/>
        <v>0</v>
      </c>
      <c r="S81" s="286">
        <f t="shared" si="24"/>
        <v>0</v>
      </c>
      <c r="T81" s="286">
        <f t="shared" si="24"/>
        <v>0</v>
      </c>
      <c r="U81" s="286">
        <f t="shared" si="24"/>
        <v>0</v>
      </c>
      <c r="V81" s="286">
        <f t="shared" si="24"/>
        <v>0</v>
      </c>
    </row>
    <row r="82" spans="2:22" hidden="1">
      <c r="B82" s="428"/>
      <c r="C82" s="24" t="s">
        <v>930</v>
      </c>
      <c r="D82" s="27" t="s">
        <v>931</v>
      </c>
      <c r="E82" s="422">
        <v>1664.93</v>
      </c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</row>
    <row r="83" spans="2:22" hidden="1">
      <c r="B83" s="428"/>
      <c r="C83" s="24" t="s">
        <v>932</v>
      </c>
      <c r="D83" s="27" t="s">
        <v>933</v>
      </c>
      <c r="E83" s="422">
        <v>80</v>
      </c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</row>
    <row r="84" spans="2:22" ht="33.75">
      <c r="B84" s="421" t="s">
        <v>830</v>
      </c>
      <c r="C84" s="159" t="s">
        <v>940</v>
      </c>
      <c r="D84" s="424" t="s">
        <v>22</v>
      </c>
      <c r="E84" s="181">
        <f t="shared" ref="E84:V84" si="25">E78+E81</f>
        <v>352.85730000000001</v>
      </c>
      <c r="F84" s="181">
        <f t="shared" si="25"/>
        <v>0</v>
      </c>
      <c r="G84" s="181">
        <f t="shared" si="25"/>
        <v>0</v>
      </c>
      <c r="H84" s="181">
        <f t="shared" si="25"/>
        <v>0</v>
      </c>
      <c r="I84" s="181">
        <f t="shared" si="25"/>
        <v>0</v>
      </c>
      <c r="J84" s="181">
        <f t="shared" si="25"/>
        <v>0</v>
      </c>
      <c r="K84" s="181">
        <f t="shared" si="25"/>
        <v>0</v>
      </c>
      <c r="L84" s="181">
        <f t="shared" si="25"/>
        <v>0</v>
      </c>
      <c r="M84" s="181">
        <f t="shared" si="25"/>
        <v>0</v>
      </c>
      <c r="N84" s="181">
        <f t="shared" si="25"/>
        <v>0</v>
      </c>
      <c r="O84" s="181">
        <f t="shared" si="25"/>
        <v>0</v>
      </c>
      <c r="P84" s="181">
        <f t="shared" si="25"/>
        <v>0</v>
      </c>
      <c r="Q84" s="181">
        <f t="shared" si="25"/>
        <v>0</v>
      </c>
      <c r="R84" s="181">
        <f t="shared" si="25"/>
        <v>0</v>
      </c>
      <c r="S84" s="181">
        <f t="shared" si="25"/>
        <v>0</v>
      </c>
      <c r="T84" s="181">
        <f t="shared" si="25"/>
        <v>0</v>
      </c>
      <c r="U84" s="181">
        <f t="shared" si="25"/>
        <v>0</v>
      </c>
      <c r="V84" s="181">
        <f t="shared" si="25"/>
        <v>0</v>
      </c>
    </row>
    <row r="85" spans="2:22" ht="53.25" customHeight="1">
      <c r="B85" s="421" t="s">
        <v>941</v>
      </c>
      <c r="C85" s="429" t="s">
        <v>942</v>
      </c>
      <c r="D85" s="426" t="s">
        <v>581</v>
      </c>
      <c r="E85" s="422">
        <v>5692.16</v>
      </c>
      <c r="F85" s="422">
        <v>8944</v>
      </c>
      <c r="G85" s="422">
        <v>2965.89</v>
      </c>
      <c r="H85" s="422">
        <v>3459.25</v>
      </c>
      <c r="I85" s="422">
        <f>G85*1.0296</f>
        <v>3053.6803439999999</v>
      </c>
      <c r="J85" s="422">
        <f>78.806+441.17+1400.8+52.43+231.82/2+801.19/2+1328.05+995.42+148.645</f>
        <v>4961.8260000000009</v>
      </c>
      <c r="K85" s="422">
        <f>I85*1.02663</f>
        <v>3134.9998515607199</v>
      </c>
      <c r="L85" s="422">
        <v>5422.9840000000004</v>
      </c>
      <c r="M85" s="422">
        <f>'К ВС'!S15</f>
        <v>11017.499</v>
      </c>
      <c r="N85" s="422">
        <f>'К ВС'!Q15</f>
        <v>5299.111084176001</v>
      </c>
      <c r="O85" s="422">
        <f>M85*O7</f>
        <v>11237.848980000001</v>
      </c>
      <c r="P85" s="422">
        <f>O85*1.02</f>
        <v>11462.605959600001</v>
      </c>
      <c r="Q85" s="422">
        <f>P85*Q7</f>
        <v>11691.858078792002</v>
      </c>
      <c r="R85" s="422"/>
      <c r="S85" s="422">
        <f>Q85*S7</f>
        <v>11925.695240367842</v>
      </c>
      <c r="T85" s="422"/>
      <c r="U85" s="422">
        <f>S85*U7</f>
        <v>12164.2091451752</v>
      </c>
      <c r="V85" s="422"/>
    </row>
    <row r="86" spans="2:22">
      <c r="B86" s="421" t="s">
        <v>834</v>
      </c>
      <c r="C86" s="295" t="s">
        <v>943</v>
      </c>
      <c r="D86" s="420" t="s">
        <v>22</v>
      </c>
      <c r="E86" s="297">
        <f>E65+E76+E84+E85</f>
        <v>88717.888513215235</v>
      </c>
      <c r="F86" s="297">
        <f>F65+F76+F84+F85</f>
        <v>105728.81200044602</v>
      </c>
      <c r="G86" s="297">
        <f>G65+G76+G84+G85</f>
        <v>109769.92000000001</v>
      </c>
      <c r="H86" s="297">
        <f>H65+H76+H84+H85</f>
        <v>147147.77000000002</v>
      </c>
      <c r="I86" s="297">
        <f>I65+I76+I84+I85+0.02</f>
        <v>116188.85395141998</v>
      </c>
      <c r="J86" s="297">
        <f>J65+J76+J84+J85</f>
        <v>159309.97402868999</v>
      </c>
      <c r="K86" s="297">
        <f>K65+K76+K84+K85+0.1</f>
        <v>119283.05361976626</v>
      </c>
      <c r="L86" s="297">
        <f>L65+L76+L84+L85-0.01</f>
        <v>143485.6799681597</v>
      </c>
      <c r="M86" s="297">
        <f>M65+M76+M84+M85</f>
        <v>153575.70591012167</v>
      </c>
      <c r="N86" s="297">
        <f t="shared" ref="N86:V86" si="26">N65+N76+N84+N85</f>
        <v>141420.38416057749</v>
      </c>
      <c r="O86" s="297">
        <f t="shared" si="26"/>
        <v>166717.98009534748</v>
      </c>
      <c r="P86" s="297">
        <f t="shared" si="26"/>
        <v>20483.577689171852</v>
      </c>
      <c r="Q86" s="297">
        <f t="shared" si="26"/>
        <v>174210.18842767947</v>
      </c>
      <c r="R86" s="297">
        <f t="shared" si="26"/>
        <v>0</v>
      </c>
      <c r="S86" s="297">
        <f t="shared" si="26"/>
        <v>177243.72901132156</v>
      </c>
      <c r="T86" s="297">
        <f t="shared" si="26"/>
        <v>0</v>
      </c>
      <c r="U86" s="297">
        <f t="shared" si="26"/>
        <v>180344.43115892806</v>
      </c>
      <c r="V86" s="297">
        <f t="shared" si="26"/>
        <v>0</v>
      </c>
    </row>
    <row r="87" spans="2:22">
      <c r="B87" s="430"/>
      <c r="C87" s="303"/>
      <c r="D87" s="431"/>
      <c r="E87" s="306"/>
      <c r="F87" s="306"/>
      <c r="G87" s="306"/>
      <c r="H87" s="306"/>
      <c r="I87" s="306"/>
      <c r="J87" s="306"/>
      <c r="K87" s="306"/>
      <c r="L87" s="305">
        <f>'К ВС'!N9</f>
        <v>143485.67500000002</v>
      </c>
      <c r="M87" s="118"/>
    </row>
    <row r="88" spans="2:22">
      <c r="B88" s="430"/>
      <c r="C88" s="303"/>
      <c r="D88" s="431"/>
      <c r="E88" s="306"/>
      <c r="F88" s="306"/>
      <c r="G88" s="1601" t="s">
        <v>944</v>
      </c>
      <c r="H88" s="1601"/>
      <c r="I88" s="1601"/>
      <c r="J88" s="1601"/>
      <c r="K88" s="1601"/>
      <c r="L88" s="1601"/>
      <c r="M88" s="118">
        <f>M16+M19+M22+M25+M31+M34+M37+M46</f>
        <v>130737.12202592396</v>
      </c>
    </row>
    <row r="89" spans="2:22">
      <c r="B89" s="430"/>
      <c r="C89" s="303"/>
      <c r="D89" s="431"/>
      <c r="E89" s="306"/>
      <c r="F89" s="306"/>
      <c r="G89" s="1601" t="s">
        <v>889</v>
      </c>
      <c r="H89" s="1601"/>
      <c r="I89" s="1601"/>
      <c r="J89" s="1601"/>
      <c r="K89" s="1601"/>
      <c r="L89" s="1601"/>
    </row>
    <row r="90" spans="2:22">
      <c r="B90" s="430"/>
      <c r="C90" s="303"/>
      <c r="D90" s="431"/>
      <c r="E90" s="306"/>
      <c r="F90" s="306"/>
      <c r="G90" s="418" t="s">
        <v>890</v>
      </c>
      <c r="H90" s="418"/>
      <c r="I90" s="418"/>
      <c r="J90" s="418"/>
      <c r="K90" s="418"/>
      <c r="L90" s="418"/>
    </row>
    <row r="91" spans="2:22">
      <c r="B91" s="430"/>
      <c r="C91" s="303"/>
      <c r="D91" s="431"/>
      <c r="E91" s="306"/>
      <c r="F91" s="306"/>
      <c r="G91" s="1601" t="s">
        <v>891</v>
      </c>
      <c r="H91" s="1601"/>
      <c r="I91" s="1601"/>
      <c r="J91" s="1601"/>
      <c r="K91" s="1601"/>
      <c r="L91" s="1601"/>
      <c r="M91" s="118"/>
    </row>
    <row r="92" spans="2:22" ht="15.75">
      <c r="B92" s="329" t="s">
        <v>945</v>
      </c>
      <c r="C92" s="432"/>
      <c r="D92" s="433"/>
      <c r="E92" s="434"/>
      <c r="F92" s="306"/>
      <c r="G92" s="418"/>
      <c r="H92" s="418"/>
      <c r="I92" s="418"/>
      <c r="J92" s="418"/>
      <c r="K92" s="418"/>
      <c r="L92" s="418"/>
      <c r="Q92" s="993"/>
      <c r="R92" s="993"/>
      <c r="S92" s="993"/>
      <c r="T92" s="993"/>
      <c r="U92" s="993"/>
      <c r="V92" s="993"/>
    </row>
    <row r="93" spans="2:22">
      <c r="B93" s="430"/>
      <c r="C93" s="303"/>
      <c r="D93" s="431"/>
      <c r="E93" s="306"/>
      <c r="F93" s="306"/>
      <c r="G93" s="418"/>
      <c r="H93" s="418"/>
      <c r="I93" s="418"/>
      <c r="J93" s="435">
        <f>J98+'[7]расшифровки ВО'!J68</f>
        <v>159203.25715080003</v>
      </c>
      <c r="K93" s="435">
        <f>K98+'[7]расшифровки ВО'!K68</f>
        <v>275448.59452562378</v>
      </c>
      <c r="L93" s="435">
        <f>L98+'[7]расшифровки ВО'!L68</f>
        <v>174134.21997196</v>
      </c>
      <c r="M93" s="435">
        <f>M98+'[7]расшифровки ВО'!M68</f>
        <v>188741.47357805999</v>
      </c>
      <c r="N93" s="435">
        <f>N98+'[7]расшифровки ВО'!N68</f>
        <v>90138.072166706173</v>
      </c>
      <c r="O93" s="435">
        <f>O98+'[7]расшифровки ВО'!O68</f>
        <v>210890.21016682161</v>
      </c>
      <c r="P93" s="435">
        <f>P98+'[7]расшифровки ВО'!P68</f>
        <v>93538.252412552174</v>
      </c>
      <c r="Q93" s="435">
        <f>Q98+'[7]расшифровки ВО'!Q68</f>
        <v>226646.29927017447</v>
      </c>
      <c r="R93" s="435">
        <f>R98+'[7]расшифровки ВО'!R68</f>
        <v>0</v>
      </c>
      <c r="S93" s="435">
        <f>S98+'[7]расшифровки ВО'!S68</f>
        <v>244142.79578215745</v>
      </c>
      <c r="T93" s="435">
        <f>T98+'[7]расшифровки ВО'!T68</f>
        <v>0</v>
      </c>
      <c r="U93" s="435">
        <f>U98+'[7]расшифровки ВО'!U68</f>
        <v>263208.40371248376</v>
      </c>
      <c r="V93" s="435">
        <f>V98+'[7]расшифровки ВО'!V68</f>
        <v>0</v>
      </c>
    </row>
    <row r="94" spans="2:22" ht="15.75">
      <c r="B94" s="419" t="s">
        <v>946</v>
      </c>
      <c r="C94" s="303"/>
      <c r="D94" s="431"/>
      <c r="E94" s="306"/>
      <c r="F94" s="306"/>
      <c r="G94" s="306"/>
      <c r="H94" s="306"/>
      <c r="I94" s="306"/>
      <c r="J94" s="306"/>
      <c r="K94" s="306">
        <v>1.015754</v>
      </c>
      <c r="L94" s="306">
        <v>1.06</v>
      </c>
      <c r="M94" s="1">
        <v>1.0569999999999999</v>
      </c>
      <c r="O94" s="1">
        <v>1.04</v>
      </c>
      <c r="Q94" s="1">
        <v>1.04</v>
      </c>
      <c r="S94" s="1">
        <v>1.04</v>
      </c>
      <c r="U94" s="1">
        <v>1.04</v>
      </c>
    </row>
    <row r="95" spans="2:22" ht="27.75" customHeight="1">
      <c r="B95" s="1597" t="s">
        <v>539</v>
      </c>
      <c r="C95" s="1598" t="s">
        <v>540</v>
      </c>
      <c r="D95" s="1599" t="s">
        <v>541</v>
      </c>
      <c r="E95" s="1596" t="s">
        <v>4</v>
      </c>
      <c r="F95" s="1596"/>
      <c r="G95" s="1596" t="s">
        <v>5</v>
      </c>
      <c r="H95" s="1596"/>
      <c r="I95" s="1596" t="s">
        <v>6</v>
      </c>
      <c r="J95" s="1596"/>
      <c r="K95" s="1596" t="s">
        <v>7</v>
      </c>
      <c r="L95" s="1596"/>
      <c r="M95" s="1596" t="s">
        <v>1382</v>
      </c>
      <c r="N95" s="1596"/>
      <c r="O95" s="1602" t="s">
        <v>1385</v>
      </c>
      <c r="P95" s="1603"/>
      <c r="Q95" s="1596" t="s">
        <v>10</v>
      </c>
      <c r="R95" s="1596"/>
      <c r="S95" s="1596" t="s">
        <v>11</v>
      </c>
      <c r="T95" s="1596"/>
      <c r="U95" s="1596" t="s">
        <v>12</v>
      </c>
      <c r="V95" s="1596"/>
    </row>
    <row r="96" spans="2:22" ht="30" customHeight="1">
      <c r="B96" s="1597"/>
      <c r="C96" s="1598"/>
      <c r="D96" s="1599"/>
      <c r="E96" s="149" t="s">
        <v>13</v>
      </c>
      <c r="F96" s="150" t="s">
        <v>14</v>
      </c>
      <c r="G96" s="149" t="s">
        <v>13</v>
      </c>
      <c r="H96" s="150" t="s">
        <v>14</v>
      </c>
      <c r="I96" s="149" t="s">
        <v>13</v>
      </c>
      <c r="J96" s="150" t="s">
        <v>14</v>
      </c>
      <c r="K96" s="149" t="s">
        <v>13</v>
      </c>
      <c r="L96" s="150" t="s">
        <v>15</v>
      </c>
      <c r="M96" s="149" t="s">
        <v>16</v>
      </c>
      <c r="N96" s="150" t="s">
        <v>17</v>
      </c>
      <c r="O96" s="149" t="s">
        <v>16</v>
      </c>
      <c r="P96" s="150" t="s">
        <v>17</v>
      </c>
      <c r="Q96" s="149" t="s">
        <v>16</v>
      </c>
      <c r="R96" s="150" t="s">
        <v>17</v>
      </c>
      <c r="S96" s="149" t="s">
        <v>16</v>
      </c>
      <c r="T96" s="150" t="s">
        <v>17</v>
      </c>
      <c r="U96" s="149" t="s">
        <v>16</v>
      </c>
      <c r="V96" s="150" t="s">
        <v>17</v>
      </c>
    </row>
    <row r="97" spans="2:22">
      <c r="B97" s="155">
        <v>1</v>
      </c>
      <c r="C97" s="155">
        <v>2</v>
      </c>
      <c r="D97" s="155">
        <v>3</v>
      </c>
      <c r="E97" s="155">
        <v>4</v>
      </c>
      <c r="F97" s="155">
        <v>5</v>
      </c>
      <c r="G97" s="155">
        <v>6</v>
      </c>
      <c r="H97" s="155">
        <v>7</v>
      </c>
      <c r="I97" s="155">
        <v>8</v>
      </c>
      <c r="J97" s="155">
        <v>9</v>
      </c>
      <c r="K97" s="155">
        <v>10</v>
      </c>
      <c r="L97" s="155">
        <v>11</v>
      </c>
      <c r="M97" s="155">
        <v>12</v>
      </c>
      <c r="N97" s="155">
        <v>13</v>
      </c>
      <c r="O97" s="155">
        <v>14</v>
      </c>
      <c r="P97" s="155">
        <v>15</v>
      </c>
      <c r="Q97" s="155">
        <v>16</v>
      </c>
      <c r="R97" s="155">
        <v>17</v>
      </c>
      <c r="S97" s="155">
        <v>18</v>
      </c>
      <c r="T97" s="155">
        <v>19</v>
      </c>
      <c r="U97" s="155">
        <v>20</v>
      </c>
      <c r="V97" s="155">
        <v>21</v>
      </c>
    </row>
    <row r="98" spans="2:22">
      <c r="B98" s="95" t="s">
        <v>41</v>
      </c>
      <c r="C98" s="436" t="s">
        <v>42</v>
      </c>
      <c r="D98" s="16" t="s">
        <v>22</v>
      </c>
      <c r="E98" s="17">
        <f>SUM(E140,E152,E146)</f>
        <v>99221.137437240002</v>
      </c>
      <c r="F98" s="17">
        <f>SUM(F140,F152,F146)</f>
        <v>89004.966489000013</v>
      </c>
      <c r="G98" s="17">
        <f>SUM(G140,G152,G146)</f>
        <v>96985.123200000002</v>
      </c>
      <c r="H98" s="17">
        <f>SUM(H140,H152,H146)</f>
        <v>85528.502428000007</v>
      </c>
      <c r="I98" s="17">
        <f>SUM(I140,I152,I146)-0.33</f>
        <v>103386.1315</v>
      </c>
      <c r="J98" s="17">
        <f t="shared" ref="J98:V98" si="27">SUM(J140,J152,J146)</f>
        <v>89513.111502600004</v>
      </c>
      <c r="K98" s="17">
        <f t="shared" si="27"/>
        <v>105015.211814471</v>
      </c>
      <c r="L98" s="17">
        <f t="shared" si="27"/>
        <v>99451.700528768008</v>
      </c>
      <c r="M98" s="17">
        <f>SUM(M140,M152,M146)</f>
        <v>109072.11640852</v>
      </c>
      <c r="N98" s="17">
        <f t="shared" si="27"/>
        <v>90138.072166706173</v>
      </c>
      <c r="O98" s="17">
        <f t="shared" si="27"/>
        <v>128034.07871050001</v>
      </c>
      <c r="P98" s="17">
        <f>SUM(P140,P152,P146)</f>
        <v>93538.252412552174</v>
      </c>
      <c r="Q98" s="17">
        <f t="shared" si="27"/>
        <v>140475.9225556</v>
      </c>
      <c r="R98" s="17">
        <f t="shared" si="27"/>
        <v>0</v>
      </c>
      <c r="S98" s="17">
        <f>SUM(S140,S152,S146)</f>
        <v>154525.60399899998</v>
      </c>
      <c r="T98" s="17">
        <f t="shared" si="27"/>
        <v>0</v>
      </c>
      <c r="U98" s="17">
        <f t="shared" si="27"/>
        <v>170006.52425799999</v>
      </c>
      <c r="V98" s="17">
        <f t="shared" si="27"/>
        <v>0</v>
      </c>
    </row>
    <row r="99" spans="2:22">
      <c r="B99" s="437" t="s">
        <v>43</v>
      </c>
      <c r="C99" s="438" t="s">
        <v>44</v>
      </c>
      <c r="D99" s="1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2:22" ht="21">
      <c r="B100" s="437" t="s">
        <v>45</v>
      </c>
      <c r="C100" s="32" t="s">
        <v>46</v>
      </c>
      <c r="D100" s="16" t="s">
        <v>47</v>
      </c>
      <c r="E100" s="17">
        <f t="shared" ref="E100:U100" si="28">SUM(E101:E105)</f>
        <v>31523.800000000003</v>
      </c>
      <c r="F100" s="17">
        <f t="shared" si="28"/>
        <v>29722.300000000003</v>
      </c>
      <c r="G100" s="17">
        <f t="shared" si="28"/>
        <v>31272.7</v>
      </c>
      <c r="H100" s="17">
        <f t="shared" si="28"/>
        <v>25845.46</v>
      </c>
      <c r="I100" s="17">
        <f t="shared" si="28"/>
        <v>31272.7</v>
      </c>
      <c r="J100" s="17">
        <f t="shared" si="28"/>
        <v>26486.456999999999</v>
      </c>
      <c r="K100" s="17">
        <f t="shared" si="28"/>
        <v>31272.7</v>
      </c>
      <c r="L100" s="17">
        <f t="shared" si="28"/>
        <v>27288.670000000002</v>
      </c>
      <c r="M100" s="17">
        <f>SUM(M101:M105)</f>
        <v>27118.904999999999</v>
      </c>
      <c r="N100" s="17">
        <f t="shared" si="28"/>
        <v>25140.333264461446</v>
      </c>
      <c r="O100" s="17">
        <v>1862.271</v>
      </c>
      <c r="P100" s="17">
        <f>P101+P102</f>
        <v>25328.810342945118</v>
      </c>
      <c r="Q100" s="17">
        <f t="shared" si="28"/>
        <v>27305.867000000002</v>
      </c>
      <c r="R100" s="17">
        <f t="shared" si="28"/>
        <v>0</v>
      </c>
      <c r="S100" s="17">
        <f t="shared" si="28"/>
        <v>27309.065999999999</v>
      </c>
      <c r="T100" s="17">
        <f t="shared" si="28"/>
        <v>0</v>
      </c>
      <c r="U100" s="17">
        <f t="shared" si="28"/>
        <v>27314.065999999999</v>
      </c>
      <c r="V100" s="17">
        <f>SUM(V101:V105)</f>
        <v>0</v>
      </c>
    </row>
    <row r="101" spans="2:22">
      <c r="B101" s="437" t="s">
        <v>48</v>
      </c>
      <c r="C101" s="34" t="s">
        <v>49</v>
      </c>
      <c r="D101" s="16" t="s">
        <v>47</v>
      </c>
      <c r="E101" s="22">
        <v>1527.4</v>
      </c>
      <c r="F101" s="22">
        <v>1062.4000000000001</v>
      </c>
      <c r="G101" s="22">
        <v>1472.7</v>
      </c>
      <c r="H101" s="22">
        <v>1029.46</v>
      </c>
      <c r="I101" s="22">
        <v>1472.7</v>
      </c>
      <c r="J101" s="22">
        <v>1602.047</v>
      </c>
      <c r="K101" s="22">
        <f>I101</f>
        <v>1472.7</v>
      </c>
      <c r="L101" s="22">
        <v>1644.65</v>
      </c>
      <c r="M101" s="22">
        <v>1862.271</v>
      </c>
      <c r="N101" s="23">
        <v>1520.6260122043002</v>
      </c>
      <c r="O101" s="22">
        <v>1867.3710000000001</v>
      </c>
      <c r="P101" s="22">
        <f>N101*1.007497</f>
        <v>1532.026145417796</v>
      </c>
      <c r="Q101" s="22">
        <v>1862.271</v>
      </c>
      <c r="R101" s="22"/>
      <c r="S101" s="22">
        <f>Q101</f>
        <v>1862.271</v>
      </c>
      <c r="T101" s="22"/>
      <c r="U101" s="22">
        <f>S101</f>
        <v>1862.271</v>
      </c>
      <c r="V101" s="22"/>
    </row>
    <row r="102" spans="2:22">
      <c r="B102" s="437" t="s">
        <v>50</v>
      </c>
      <c r="C102" s="34" t="s">
        <v>51</v>
      </c>
      <c r="D102" s="16" t="s">
        <v>47</v>
      </c>
      <c r="E102" s="22">
        <v>29996.400000000001</v>
      </c>
      <c r="F102" s="22">
        <v>28659.9</v>
      </c>
      <c r="G102" s="22">
        <v>29800</v>
      </c>
      <c r="H102" s="22">
        <v>24816</v>
      </c>
      <c r="I102" s="22">
        <v>29800</v>
      </c>
      <c r="J102" s="22">
        <v>24884.41</v>
      </c>
      <c r="K102" s="22">
        <f>I102</f>
        <v>29800</v>
      </c>
      <c r="L102" s="22">
        <v>25644.02</v>
      </c>
      <c r="M102" s="22">
        <v>25256.633999999998</v>
      </c>
      <c r="N102" s="23">
        <v>23619.707252257147</v>
      </c>
      <c r="O102" s="22">
        <v>25508.312000000002</v>
      </c>
      <c r="P102" s="22">
        <f>N102*1.007497</f>
        <v>23796.784197527322</v>
      </c>
      <c r="Q102" s="22">
        <f>25443.596</f>
        <v>25443.596000000001</v>
      </c>
      <c r="R102" s="22"/>
      <c r="S102" s="22">
        <v>25446.794999999998</v>
      </c>
      <c r="T102" s="22"/>
      <c r="U102" s="22">
        <v>25451.794999999998</v>
      </c>
      <c r="V102" s="22"/>
    </row>
    <row r="103" spans="2:22">
      <c r="B103" s="437" t="s">
        <v>52</v>
      </c>
      <c r="C103" s="34" t="s">
        <v>53</v>
      </c>
      <c r="D103" s="16" t="s">
        <v>47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2:22">
      <c r="B104" s="437" t="s">
        <v>54</v>
      </c>
      <c r="C104" s="34" t="s">
        <v>55</v>
      </c>
      <c r="D104" s="16" t="s">
        <v>47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2:22" hidden="1">
      <c r="B105" s="437" t="s">
        <v>56</v>
      </c>
      <c r="C105" s="34" t="s">
        <v>57</v>
      </c>
      <c r="D105" s="16" t="s">
        <v>47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2:22" ht="31.5" hidden="1">
      <c r="B106" s="437" t="s">
        <v>58</v>
      </c>
      <c r="C106" s="32" t="s">
        <v>59</v>
      </c>
      <c r="D106" s="16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2:22" hidden="1">
      <c r="B107" s="437" t="s">
        <v>60</v>
      </c>
      <c r="C107" s="34" t="s">
        <v>61</v>
      </c>
      <c r="D107" s="16" t="s">
        <v>62</v>
      </c>
      <c r="E107" s="17">
        <f t="shared" ref="E107:U107" si="29">SUM(E108:E112)</f>
        <v>0</v>
      </c>
      <c r="F107" s="17">
        <f t="shared" si="29"/>
        <v>0</v>
      </c>
      <c r="G107" s="17">
        <f t="shared" si="29"/>
        <v>0</v>
      </c>
      <c r="H107" s="17">
        <f t="shared" si="29"/>
        <v>0</v>
      </c>
      <c r="I107" s="17">
        <f t="shared" si="29"/>
        <v>0</v>
      </c>
      <c r="J107" s="17">
        <f t="shared" si="29"/>
        <v>0</v>
      </c>
      <c r="K107" s="17">
        <f t="shared" si="29"/>
        <v>0</v>
      </c>
      <c r="L107" s="17">
        <f t="shared" si="29"/>
        <v>0</v>
      </c>
      <c r="M107" s="17">
        <f t="shared" si="29"/>
        <v>0</v>
      </c>
      <c r="N107" s="17">
        <f t="shared" si="29"/>
        <v>0</v>
      </c>
      <c r="O107" s="17">
        <f t="shared" si="29"/>
        <v>0</v>
      </c>
      <c r="P107" s="17">
        <f t="shared" si="29"/>
        <v>0</v>
      </c>
      <c r="Q107" s="17">
        <f t="shared" si="29"/>
        <v>0</v>
      </c>
      <c r="R107" s="17">
        <f t="shared" si="29"/>
        <v>0</v>
      </c>
      <c r="S107" s="17">
        <f t="shared" si="29"/>
        <v>0</v>
      </c>
      <c r="T107" s="17">
        <f t="shared" si="29"/>
        <v>0</v>
      </c>
      <c r="U107" s="17">
        <f t="shared" si="29"/>
        <v>0</v>
      </c>
      <c r="V107" s="17">
        <f>SUM(V108:V112)</f>
        <v>0</v>
      </c>
    </row>
    <row r="108" spans="2:22" hidden="1">
      <c r="B108" s="437" t="s">
        <v>63</v>
      </c>
      <c r="C108" s="35" t="s">
        <v>49</v>
      </c>
      <c r="D108" s="16" t="s">
        <v>62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2:22" hidden="1">
      <c r="B109" s="437" t="s">
        <v>64</v>
      </c>
      <c r="C109" s="35" t="s">
        <v>51</v>
      </c>
      <c r="D109" s="16" t="s">
        <v>62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2:22" hidden="1">
      <c r="B110" s="437" t="s">
        <v>65</v>
      </c>
      <c r="C110" s="35" t="s">
        <v>53</v>
      </c>
      <c r="D110" s="16" t="s">
        <v>62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2:22" hidden="1">
      <c r="B111" s="437" t="s">
        <v>66</v>
      </c>
      <c r="C111" s="35" t="s">
        <v>55</v>
      </c>
      <c r="D111" s="16" t="s">
        <v>62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2:22" hidden="1">
      <c r="B112" s="437" t="s">
        <v>67</v>
      </c>
      <c r="C112" s="35" t="s">
        <v>68</v>
      </c>
      <c r="D112" s="16" t="s">
        <v>62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2:22" hidden="1">
      <c r="B113" s="437" t="s">
        <v>69</v>
      </c>
      <c r="C113" s="34" t="s">
        <v>70</v>
      </c>
      <c r="D113" s="16" t="s">
        <v>47</v>
      </c>
      <c r="E113" s="17">
        <f t="shared" ref="E113:U113" si="30">SUM(E114:E118)</f>
        <v>0</v>
      </c>
      <c r="F113" s="17">
        <f t="shared" si="30"/>
        <v>0</v>
      </c>
      <c r="G113" s="17">
        <f t="shared" si="30"/>
        <v>0</v>
      </c>
      <c r="H113" s="17">
        <f t="shared" si="30"/>
        <v>0</v>
      </c>
      <c r="I113" s="17">
        <f t="shared" si="30"/>
        <v>0</v>
      </c>
      <c r="J113" s="17">
        <f t="shared" si="30"/>
        <v>0</v>
      </c>
      <c r="K113" s="17">
        <f t="shared" si="30"/>
        <v>0</v>
      </c>
      <c r="L113" s="17">
        <f t="shared" si="30"/>
        <v>0</v>
      </c>
      <c r="M113" s="17">
        <f t="shared" si="30"/>
        <v>0</v>
      </c>
      <c r="N113" s="17">
        <f t="shared" si="30"/>
        <v>0</v>
      </c>
      <c r="O113" s="17">
        <f t="shared" si="30"/>
        <v>0</v>
      </c>
      <c r="P113" s="17">
        <f t="shared" si="30"/>
        <v>0</v>
      </c>
      <c r="Q113" s="17">
        <f t="shared" si="30"/>
        <v>0</v>
      </c>
      <c r="R113" s="17">
        <f t="shared" si="30"/>
        <v>0</v>
      </c>
      <c r="S113" s="17">
        <f t="shared" si="30"/>
        <v>0</v>
      </c>
      <c r="T113" s="17">
        <f t="shared" si="30"/>
        <v>0</v>
      </c>
      <c r="U113" s="17">
        <f t="shared" si="30"/>
        <v>0</v>
      </c>
      <c r="V113" s="17">
        <f>SUM(V114:V118)</f>
        <v>0</v>
      </c>
    </row>
    <row r="114" spans="2:22" hidden="1">
      <c r="B114" s="437" t="s">
        <v>71</v>
      </c>
      <c r="C114" s="35" t="s">
        <v>49</v>
      </c>
      <c r="D114" s="16" t="s">
        <v>47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2:22" hidden="1">
      <c r="B115" s="437" t="s">
        <v>72</v>
      </c>
      <c r="C115" s="35" t="s">
        <v>51</v>
      </c>
      <c r="D115" s="16" t="s">
        <v>47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2:22" hidden="1">
      <c r="B116" s="437" t="s">
        <v>73</v>
      </c>
      <c r="C116" s="35" t="s">
        <v>53</v>
      </c>
      <c r="D116" s="16" t="s">
        <v>47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2:22" hidden="1">
      <c r="B117" s="437" t="s">
        <v>74</v>
      </c>
      <c r="C117" s="35" t="s">
        <v>55</v>
      </c>
      <c r="D117" s="16" t="s">
        <v>47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2:22">
      <c r="B118" s="437" t="s">
        <v>75</v>
      </c>
      <c r="C118" s="35" t="s">
        <v>68</v>
      </c>
      <c r="D118" s="16" t="s">
        <v>47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2:22" ht="21">
      <c r="B119" s="437" t="s">
        <v>76</v>
      </c>
      <c r="C119" s="438" t="s">
        <v>77</v>
      </c>
      <c r="D119" s="16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2:22">
      <c r="B120" s="437" t="s">
        <v>78</v>
      </c>
      <c r="C120" s="32" t="s">
        <v>79</v>
      </c>
      <c r="D120" s="16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2:22">
      <c r="B121" s="437" t="s">
        <v>80</v>
      </c>
      <c r="C121" s="34" t="s">
        <v>49</v>
      </c>
      <c r="D121" s="16" t="s">
        <v>81</v>
      </c>
      <c r="E121" s="22">
        <v>4.17</v>
      </c>
      <c r="F121" s="22">
        <v>4.0039999999999996</v>
      </c>
      <c r="G121" s="22">
        <v>4.1139999999999999</v>
      </c>
      <c r="H121" s="22">
        <v>4.3677999999999999</v>
      </c>
      <c r="I121" s="22">
        <v>4.3849999999999998</v>
      </c>
      <c r="J121" s="22">
        <v>4.68</v>
      </c>
      <c r="K121" s="22">
        <f>I121*K94</f>
        <v>4.4540812900000004</v>
      </c>
      <c r="L121" s="22">
        <v>5.2894839999999999</v>
      </c>
      <c r="M121" s="478">
        <v>5.6163600000000002</v>
      </c>
      <c r="N121" s="992">
        <v>4.9650119999999989</v>
      </c>
      <c r="O121" s="478">
        <v>6.1615000000000002</v>
      </c>
      <c r="P121" s="478">
        <f>N121*1.03</f>
        <v>5.1139623599999986</v>
      </c>
      <c r="Q121" s="478">
        <v>6.7759999999999998</v>
      </c>
      <c r="R121" s="478"/>
      <c r="S121" s="478">
        <v>7.4539999999999997</v>
      </c>
      <c r="T121" s="478"/>
      <c r="U121" s="478">
        <v>8.1980000000000004</v>
      </c>
      <c r="V121" s="478"/>
    </row>
    <row r="122" spans="2:22">
      <c r="B122" s="437" t="s">
        <v>82</v>
      </c>
      <c r="C122" s="34" t="s">
        <v>51</v>
      </c>
      <c r="D122" s="16" t="s">
        <v>81</v>
      </c>
      <c r="E122" s="22">
        <v>3.0954340999999999</v>
      </c>
      <c r="F122" s="22">
        <v>2.9571100000000001</v>
      </c>
      <c r="G122" s="22">
        <v>3.0512229999999998</v>
      </c>
      <c r="H122" s="22">
        <v>3.2653150000000002</v>
      </c>
      <c r="I122" s="22">
        <v>3.25264</v>
      </c>
      <c r="J122" s="22">
        <v>3.2958599999999998</v>
      </c>
      <c r="K122" s="22">
        <f>I122*K94</f>
        <v>3.3038820905600002</v>
      </c>
      <c r="L122" s="22">
        <v>3.5389284000000001</v>
      </c>
      <c r="M122" s="478">
        <v>3.9044400000000001</v>
      </c>
      <c r="N122" s="992">
        <v>3.4965778739999998</v>
      </c>
      <c r="O122" s="478">
        <v>4.5682499999999999</v>
      </c>
      <c r="P122" s="478">
        <f>N122*1.03</f>
        <v>3.6014752102199998</v>
      </c>
      <c r="Q122" s="478">
        <v>5.0251000000000001</v>
      </c>
      <c r="R122" s="478"/>
      <c r="S122" s="478">
        <v>5.5270000000000001</v>
      </c>
      <c r="T122" s="478"/>
      <c r="U122" s="478">
        <v>6.08</v>
      </c>
      <c r="V122" s="478"/>
    </row>
    <row r="123" spans="2:22">
      <c r="B123" s="437" t="s">
        <v>83</v>
      </c>
      <c r="C123" s="34" t="s">
        <v>53</v>
      </c>
      <c r="D123" s="16" t="s">
        <v>81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2:22">
      <c r="B124" s="437" t="s">
        <v>84</v>
      </c>
      <c r="C124" s="34" t="s">
        <v>55</v>
      </c>
      <c r="D124" s="16" t="s">
        <v>81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2:22" hidden="1">
      <c r="B125" s="437" t="s">
        <v>85</v>
      </c>
      <c r="C125" s="34" t="s">
        <v>57</v>
      </c>
      <c r="D125" s="16" t="s">
        <v>81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2:22" ht="31.5" hidden="1">
      <c r="B126" s="437" t="s">
        <v>86</v>
      </c>
      <c r="C126" s="34" t="s">
        <v>87</v>
      </c>
      <c r="D126" s="16" t="s">
        <v>81</v>
      </c>
      <c r="E126" s="17">
        <f t="shared" ref="E126:V126" si="31">IF(E100=0,0,E140/E100)</f>
        <v>3.1474992684016518</v>
      </c>
      <c r="F126" s="17">
        <f t="shared" si="31"/>
        <v>2.9945517839803784</v>
      </c>
      <c r="G126" s="17">
        <f t="shared" si="31"/>
        <v>3.1012711790155629</v>
      </c>
      <c r="H126" s="17">
        <f t="shared" si="31"/>
        <v>3.3092273237930381</v>
      </c>
      <c r="I126" s="17">
        <f t="shared" si="31"/>
        <v>3.305965314795333</v>
      </c>
      <c r="J126" s="17">
        <f t="shared" si="31"/>
        <v>3.3795804211412652</v>
      </c>
      <c r="K126" s="17">
        <f t="shared" si="31"/>
        <v>3.358047492364618</v>
      </c>
      <c r="L126" s="17">
        <f t="shared" si="31"/>
        <v>3.6444319392908486</v>
      </c>
      <c r="M126" s="17">
        <f t="shared" si="31"/>
        <v>4.0219955934253244</v>
      </c>
      <c r="N126" s="17">
        <f t="shared" si="31"/>
        <v>3.5853968687887678</v>
      </c>
      <c r="O126" s="17">
        <f t="shared" si="31"/>
        <v>68.751582723728177</v>
      </c>
      <c r="P126" s="17">
        <f t="shared" si="31"/>
        <v>3.6929587748524306</v>
      </c>
      <c r="Q126" s="17">
        <f t="shared" si="31"/>
        <v>5.1445325854549866</v>
      </c>
      <c r="R126" s="17">
        <f t="shared" si="31"/>
        <v>0</v>
      </c>
      <c r="S126" s="17">
        <f t="shared" si="31"/>
        <v>5.658399448703225</v>
      </c>
      <c r="T126" s="17">
        <f t="shared" si="31"/>
        <v>0</v>
      </c>
      <c r="U126" s="17">
        <f t="shared" si="31"/>
        <v>6.2241382977547168</v>
      </c>
      <c r="V126" s="17">
        <f t="shared" si="31"/>
        <v>0</v>
      </c>
    </row>
    <row r="127" spans="2:22" hidden="1">
      <c r="B127" s="437" t="s">
        <v>88</v>
      </c>
      <c r="C127" s="32" t="s">
        <v>89</v>
      </c>
      <c r="D127" s="1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2:22" ht="21" hidden="1">
      <c r="B128" s="437" t="s">
        <v>90</v>
      </c>
      <c r="C128" s="34" t="s">
        <v>91</v>
      </c>
      <c r="D128" s="16" t="s">
        <v>92</v>
      </c>
      <c r="E128" s="17">
        <f t="shared" ref="E128:U128" si="32">IF(E107=0,0,(E129*E108+E130*E109+E131*E110+E132*E111+E133*E112)/E107)</f>
        <v>0</v>
      </c>
      <c r="F128" s="17">
        <f t="shared" si="32"/>
        <v>0</v>
      </c>
      <c r="G128" s="17">
        <f t="shared" si="32"/>
        <v>0</v>
      </c>
      <c r="H128" s="17">
        <f t="shared" si="32"/>
        <v>0</v>
      </c>
      <c r="I128" s="17">
        <f t="shared" si="32"/>
        <v>0</v>
      </c>
      <c r="J128" s="17">
        <f t="shared" si="32"/>
        <v>0</v>
      </c>
      <c r="K128" s="17">
        <f t="shared" si="32"/>
        <v>0</v>
      </c>
      <c r="L128" s="17">
        <f t="shared" si="32"/>
        <v>0</v>
      </c>
      <c r="M128" s="17">
        <f t="shared" si="32"/>
        <v>0</v>
      </c>
      <c r="N128" s="17">
        <f t="shared" si="32"/>
        <v>0</v>
      </c>
      <c r="O128" s="17">
        <f t="shared" si="32"/>
        <v>0</v>
      </c>
      <c r="P128" s="17">
        <f t="shared" si="32"/>
        <v>0</v>
      </c>
      <c r="Q128" s="17">
        <f t="shared" si="32"/>
        <v>0</v>
      </c>
      <c r="R128" s="17">
        <f t="shared" si="32"/>
        <v>0</v>
      </c>
      <c r="S128" s="17">
        <f t="shared" si="32"/>
        <v>0</v>
      </c>
      <c r="T128" s="17">
        <f t="shared" si="32"/>
        <v>0</v>
      </c>
      <c r="U128" s="17">
        <f t="shared" si="32"/>
        <v>0</v>
      </c>
      <c r="V128" s="17">
        <f>IF(V107=0,0,(V129*V108+V130*V109+V131*V110+V132*V111+V133*V112)/V107)</f>
        <v>0</v>
      </c>
    </row>
    <row r="129" spans="2:22" ht="21" hidden="1">
      <c r="B129" s="437" t="s">
        <v>93</v>
      </c>
      <c r="C129" s="35" t="s">
        <v>49</v>
      </c>
      <c r="D129" s="16" t="s">
        <v>92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2:22" ht="21" hidden="1">
      <c r="B130" s="437" t="s">
        <v>94</v>
      </c>
      <c r="C130" s="35" t="s">
        <v>51</v>
      </c>
      <c r="D130" s="16" t="s">
        <v>92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2:22" ht="21" hidden="1">
      <c r="B131" s="437" t="s">
        <v>95</v>
      </c>
      <c r="C131" s="35" t="s">
        <v>53</v>
      </c>
      <c r="D131" s="16" t="s">
        <v>92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2:22" ht="21" hidden="1">
      <c r="B132" s="437" t="s">
        <v>96</v>
      </c>
      <c r="C132" s="35" t="s">
        <v>55</v>
      </c>
      <c r="D132" s="16" t="s">
        <v>92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2:22" ht="21" hidden="1">
      <c r="B133" s="437" t="s">
        <v>97</v>
      </c>
      <c r="C133" s="35" t="s">
        <v>68</v>
      </c>
      <c r="D133" s="16" t="s">
        <v>92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2:22" ht="21" hidden="1">
      <c r="B134" s="437" t="s">
        <v>98</v>
      </c>
      <c r="C134" s="34" t="s">
        <v>99</v>
      </c>
      <c r="D134" s="16" t="s">
        <v>100</v>
      </c>
      <c r="E134" s="17">
        <f t="shared" ref="E134:U134" si="33">IF(E113=0,0,(E135*E114+E136*E115+E137*E116+E138*E117+E139*E118)/E113)</f>
        <v>0</v>
      </c>
      <c r="F134" s="17">
        <f t="shared" si="33"/>
        <v>0</v>
      </c>
      <c r="G134" s="17">
        <f t="shared" si="33"/>
        <v>0</v>
      </c>
      <c r="H134" s="17">
        <f t="shared" si="33"/>
        <v>0</v>
      </c>
      <c r="I134" s="17">
        <f t="shared" si="33"/>
        <v>0</v>
      </c>
      <c r="J134" s="17">
        <f t="shared" si="33"/>
        <v>0</v>
      </c>
      <c r="K134" s="17">
        <f t="shared" si="33"/>
        <v>0</v>
      </c>
      <c r="L134" s="17">
        <f t="shared" si="33"/>
        <v>0</v>
      </c>
      <c r="M134" s="17">
        <f t="shared" si="33"/>
        <v>0</v>
      </c>
      <c r="N134" s="17">
        <f t="shared" si="33"/>
        <v>0</v>
      </c>
      <c r="O134" s="17">
        <f t="shared" si="33"/>
        <v>0</v>
      </c>
      <c r="P134" s="17">
        <f t="shared" si="33"/>
        <v>0</v>
      </c>
      <c r="Q134" s="17">
        <f t="shared" si="33"/>
        <v>0</v>
      </c>
      <c r="R134" s="17">
        <f t="shared" si="33"/>
        <v>0</v>
      </c>
      <c r="S134" s="17">
        <f t="shared" si="33"/>
        <v>0</v>
      </c>
      <c r="T134" s="17">
        <f t="shared" si="33"/>
        <v>0</v>
      </c>
      <c r="U134" s="17">
        <f t="shared" si="33"/>
        <v>0</v>
      </c>
      <c r="V134" s="17">
        <f>IF(V113=0,0,(V135*V114+V136*V115+V137*V116+V138*V117+V139*V118)/V113)</f>
        <v>0</v>
      </c>
    </row>
    <row r="135" spans="2:22" ht="21" hidden="1">
      <c r="B135" s="437" t="s">
        <v>101</v>
      </c>
      <c r="C135" s="35" t="s">
        <v>49</v>
      </c>
      <c r="D135" s="16" t="s">
        <v>100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2:22" ht="21" hidden="1">
      <c r="B136" s="437" t="s">
        <v>102</v>
      </c>
      <c r="C136" s="35" t="s">
        <v>51</v>
      </c>
      <c r="D136" s="16" t="s">
        <v>100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2:22" ht="21" hidden="1">
      <c r="B137" s="437" t="s">
        <v>103</v>
      </c>
      <c r="C137" s="35" t="s">
        <v>53</v>
      </c>
      <c r="D137" s="16" t="s">
        <v>100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2:22" ht="21">
      <c r="B138" s="437" t="s">
        <v>104</v>
      </c>
      <c r="C138" s="35" t="s">
        <v>55</v>
      </c>
      <c r="D138" s="16" t="s">
        <v>100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2:22" ht="21">
      <c r="B139" s="437" t="s">
        <v>105</v>
      </c>
      <c r="C139" s="35" t="s">
        <v>68</v>
      </c>
      <c r="D139" s="16" t="s">
        <v>100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2:22" ht="21">
      <c r="B140" s="437" t="s">
        <v>106</v>
      </c>
      <c r="C140" s="29" t="s">
        <v>107</v>
      </c>
      <c r="D140" s="16" t="s">
        <v>22</v>
      </c>
      <c r="E140" s="17">
        <f>SUM(E141:E145)</f>
        <v>99221.137437240002</v>
      </c>
      <c r="F140" s="17">
        <f>SUM(F141:F145)</f>
        <v>89004.966489000013</v>
      </c>
      <c r="G140" s="17">
        <f>SUM(G141:G145)-0.01</f>
        <v>96985.123200000002</v>
      </c>
      <c r="H140" s="17">
        <f>SUM(H141:H145)-0.03</f>
        <v>85528.502428000007</v>
      </c>
      <c r="I140" s="17">
        <f t="shared" ref="I140:U140" si="34">SUM(I141:I145)</f>
        <v>103386.4615</v>
      </c>
      <c r="J140" s="17">
        <f t="shared" si="34"/>
        <v>89513.111502600004</v>
      </c>
      <c r="K140" s="17">
        <f t="shared" si="34"/>
        <v>105015.211814471</v>
      </c>
      <c r="L140" s="17">
        <f t="shared" si="34"/>
        <v>99451.700528768008</v>
      </c>
      <c r="M140" s="17">
        <f t="shared" si="34"/>
        <v>109072.11640852</v>
      </c>
      <c r="N140" s="17">
        <f t="shared" si="34"/>
        <v>90138.072166706173</v>
      </c>
      <c r="O140" s="17">
        <f t="shared" si="34"/>
        <v>128034.07871050001</v>
      </c>
      <c r="P140" s="17">
        <f t="shared" si="34"/>
        <v>93538.252412552174</v>
      </c>
      <c r="Q140" s="17">
        <f t="shared" si="34"/>
        <v>140475.9225556</v>
      </c>
      <c r="R140" s="17">
        <f t="shared" si="34"/>
        <v>0</v>
      </c>
      <c r="S140" s="17">
        <f t="shared" si="34"/>
        <v>154525.60399899998</v>
      </c>
      <c r="T140" s="17">
        <f t="shared" si="34"/>
        <v>0</v>
      </c>
      <c r="U140" s="17">
        <f t="shared" si="34"/>
        <v>170006.52425799999</v>
      </c>
      <c r="V140" s="17">
        <f>SUM(V141:V145)</f>
        <v>0</v>
      </c>
    </row>
    <row r="141" spans="2:22">
      <c r="B141" s="437" t="s">
        <v>108</v>
      </c>
      <c r="C141" s="32" t="s">
        <v>49</v>
      </c>
      <c r="D141" s="16" t="s">
        <v>22</v>
      </c>
      <c r="E141" s="17">
        <f>E101*E121</f>
        <v>6369.2580000000007</v>
      </c>
      <c r="F141" s="17">
        <f>F101*F121+0.64</f>
        <v>4254.4895999999999</v>
      </c>
      <c r="G141" s="17">
        <f t="shared" ref="G141:V145" si="35">G101*G121</f>
        <v>6058.6877999999997</v>
      </c>
      <c r="H141" s="17">
        <f t="shared" si="35"/>
        <v>4496.4753879999998</v>
      </c>
      <c r="I141" s="17">
        <f t="shared" si="35"/>
        <v>6457.7894999999999</v>
      </c>
      <c r="J141" s="17">
        <f t="shared" si="35"/>
        <v>7497.57996</v>
      </c>
      <c r="K141" s="17">
        <f t="shared" si="35"/>
        <v>6559.5255157830006</v>
      </c>
      <c r="L141" s="17">
        <f t="shared" si="35"/>
        <v>8699.3498605999994</v>
      </c>
      <c r="M141" s="17">
        <f>M101*M121-0.08</f>
        <v>10459.10435356</v>
      </c>
      <c r="N141" s="17">
        <f t="shared" si="35"/>
        <v>7549.9263981064951</v>
      </c>
      <c r="O141" s="17">
        <f>O101*O121-0.074</f>
        <v>11505.732416500001</v>
      </c>
      <c r="P141" s="17">
        <f>P101*P121</f>
        <v>7834.7240422024934</v>
      </c>
      <c r="Q141" s="17">
        <f t="shared" si="35"/>
        <v>12618.748296</v>
      </c>
      <c r="R141" s="17">
        <f t="shared" si="35"/>
        <v>0</v>
      </c>
      <c r="S141" s="17">
        <f t="shared" si="35"/>
        <v>13881.368033999999</v>
      </c>
      <c r="T141" s="17">
        <f t="shared" si="35"/>
        <v>0</v>
      </c>
      <c r="U141" s="17">
        <f t="shared" si="35"/>
        <v>15266.897658</v>
      </c>
      <c r="V141" s="17">
        <f t="shared" si="35"/>
        <v>0</v>
      </c>
    </row>
    <row r="142" spans="2:22">
      <c r="B142" s="437" t="s">
        <v>109</v>
      </c>
      <c r="C142" s="32" t="s">
        <v>51</v>
      </c>
      <c r="D142" s="16" t="s">
        <v>22</v>
      </c>
      <c r="E142" s="17">
        <f>E102*E122</f>
        <v>92851.879437240001</v>
      </c>
      <c r="F142" s="17">
        <f>F102*F122</f>
        <v>84750.476889000012</v>
      </c>
      <c r="G142" s="17">
        <f t="shared" si="35"/>
        <v>90926.445399999997</v>
      </c>
      <c r="H142" s="17">
        <f t="shared" si="35"/>
        <v>81032.05704</v>
      </c>
      <c r="I142" s="17">
        <f t="shared" si="35"/>
        <v>96928.672000000006</v>
      </c>
      <c r="J142" s="17">
        <f t="shared" si="35"/>
        <v>82015.531542600002</v>
      </c>
      <c r="K142" s="17">
        <f t="shared" si="35"/>
        <v>98455.686298688001</v>
      </c>
      <c r="L142" s="17">
        <f t="shared" si="35"/>
        <v>90752.350668168001</v>
      </c>
      <c r="M142" s="17">
        <f t="shared" si="35"/>
        <v>98613.012054959996</v>
      </c>
      <c r="N142" s="17">
        <f t="shared" si="35"/>
        <v>82588.145768599672</v>
      </c>
      <c r="O142" s="17">
        <f t="shared" si="35"/>
        <v>116528.346294</v>
      </c>
      <c r="P142" s="17">
        <f>P102*P122</f>
        <v>85703.528370349683</v>
      </c>
      <c r="Q142" s="17">
        <f>Q102*Q122+0.56</f>
        <v>127857.17425960001</v>
      </c>
      <c r="R142" s="17">
        <f t="shared" si="35"/>
        <v>0</v>
      </c>
      <c r="S142" s="17">
        <f>S102*S122-0.2</f>
        <v>140644.23596499997</v>
      </c>
      <c r="T142" s="17">
        <f t="shared" si="35"/>
        <v>0</v>
      </c>
      <c r="U142" s="17">
        <f>U102*U122-7.287</f>
        <v>154739.62659999999</v>
      </c>
      <c r="V142" s="17">
        <f t="shared" si="35"/>
        <v>0</v>
      </c>
    </row>
    <row r="143" spans="2:22">
      <c r="B143" s="437" t="s">
        <v>110</v>
      </c>
      <c r="C143" s="32" t="s">
        <v>53</v>
      </c>
      <c r="D143" s="16" t="s">
        <v>22</v>
      </c>
      <c r="E143" s="17">
        <f>E103*E123</f>
        <v>0</v>
      </c>
      <c r="F143" s="17">
        <f>F103*F123</f>
        <v>0</v>
      </c>
      <c r="G143" s="17">
        <f t="shared" si="35"/>
        <v>0</v>
      </c>
      <c r="H143" s="17">
        <f t="shared" si="35"/>
        <v>0</v>
      </c>
      <c r="I143" s="17">
        <f t="shared" si="35"/>
        <v>0</v>
      </c>
      <c r="J143" s="17">
        <f t="shared" si="35"/>
        <v>0</v>
      </c>
      <c r="K143" s="17">
        <f t="shared" si="35"/>
        <v>0</v>
      </c>
      <c r="L143" s="17">
        <f t="shared" si="35"/>
        <v>0</v>
      </c>
      <c r="M143" s="17">
        <f t="shared" si="35"/>
        <v>0</v>
      </c>
      <c r="N143" s="17">
        <f t="shared" si="35"/>
        <v>0</v>
      </c>
      <c r="O143" s="17">
        <f t="shared" si="35"/>
        <v>0</v>
      </c>
      <c r="P143" s="17">
        <f t="shared" si="35"/>
        <v>0</v>
      </c>
      <c r="Q143" s="17">
        <f t="shared" si="35"/>
        <v>0</v>
      </c>
      <c r="R143" s="17">
        <f t="shared" si="35"/>
        <v>0</v>
      </c>
      <c r="S143" s="17">
        <f t="shared" si="35"/>
        <v>0</v>
      </c>
      <c r="T143" s="17">
        <f t="shared" si="35"/>
        <v>0</v>
      </c>
      <c r="U143" s="17">
        <f t="shared" si="35"/>
        <v>0</v>
      </c>
      <c r="V143" s="17">
        <f t="shared" si="35"/>
        <v>0</v>
      </c>
    </row>
    <row r="144" spans="2:22">
      <c r="B144" s="437" t="s">
        <v>111</v>
      </c>
      <c r="C144" s="32" t="s">
        <v>55</v>
      </c>
      <c r="D144" s="16" t="s">
        <v>22</v>
      </c>
      <c r="E144" s="17">
        <f>E104*E124</f>
        <v>0</v>
      </c>
      <c r="F144" s="17">
        <f>F104*F124</f>
        <v>0</v>
      </c>
      <c r="G144" s="17">
        <f t="shared" si="35"/>
        <v>0</v>
      </c>
      <c r="H144" s="17">
        <f t="shared" si="35"/>
        <v>0</v>
      </c>
      <c r="I144" s="17">
        <f t="shared" si="35"/>
        <v>0</v>
      </c>
      <c r="J144" s="17">
        <f t="shared" si="35"/>
        <v>0</v>
      </c>
      <c r="K144" s="17">
        <f t="shared" si="35"/>
        <v>0</v>
      </c>
      <c r="L144" s="17">
        <f t="shared" si="35"/>
        <v>0</v>
      </c>
      <c r="M144" s="17">
        <f t="shared" si="35"/>
        <v>0</v>
      </c>
      <c r="N144" s="17">
        <f t="shared" si="35"/>
        <v>0</v>
      </c>
      <c r="O144" s="17">
        <f t="shared" si="35"/>
        <v>0</v>
      </c>
      <c r="P144" s="17">
        <f t="shared" si="35"/>
        <v>0</v>
      </c>
      <c r="Q144" s="17">
        <f t="shared" si="35"/>
        <v>0</v>
      </c>
      <c r="R144" s="17">
        <f t="shared" si="35"/>
        <v>0</v>
      </c>
      <c r="S144" s="17">
        <f t="shared" si="35"/>
        <v>0</v>
      </c>
      <c r="T144" s="17">
        <f t="shared" si="35"/>
        <v>0</v>
      </c>
      <c r="U144" s="17">
        <f t="shared" si="35"/>
        <v>0</v>
      </c>
      <c r="V144" s="17">
        <f t="shared" si="35"/>
        <v>0</v>
      </c>
    </row>
    <row r="145" spans="2:22">
      <c r="B145" s="437" t="s">
        <v>112</v>
      </c>
      <c r="C145" s="32" t="s">
        <v>57</v>
      </c>
      <c r="D145" s="16" t="s">
        <v>22</v>
      </c>
      <c r="E145" s="17">
        <f>E105*E125</f>
        <v>0</v>
      </c>
      <c r="F145" s="17">
        <f>F105*F125</f>
        <v>0</v>
      </c>
      <c r="G145" s="17">
        <f t="shared" si="35"/>
        <v>0</v>
      </c>
      <c r="H145" s="17">
        <f t="shared" si="35"/>
        <v>0</v>
      </c>
      <c r="I145" s="17">
        <f t="shared" si="35"/>
        <v>0</v>
      </c>
      <c r="J145" s="17">
        <f t="shared" si="35"/>
        <v>0</v>
      </c>
      <c r="K145" s="17">
        <f t="shared" si="35"/>
        <v>0</v>
      </c>
      <c r="L145" s="17">
        <f t="shared" si="35"/>
        <v>0</v>
      </c>
      <c r="M145" s="17">
        <f t="shared" si="35"/>
        <v>0</v>
      </c>
      <c r="N145" s="17">
        <f t="shared" si="35"/>
        <v>0</v>
      </c>
      <c r="O145" s="17">
        <f t="shared" si="35"/>
        <v>0</v>
      </c>
      <c r="P145" s="17">
        <f t="shared" si="35"/>
        <v>0</v>
      </c>
      <c r="Q145" s="17">
        <f t="shared" si="35"/>
        <v>0</v>
      </c>
      <c r="R145" s="17">
        <f t="shared" si="35"/>
        <v>0</v>
      </c>
      <c r="S145" s="17">
        <f t="shared" si="35"/>
        <v>0</v>
      </c>
      <c r="T145" s="17">
        <f t="shared" si="35"/>
        <v>0</v>
      </c>
      <c r="U145" s="17">
        <f t="shared" si="35"/>
        <v>0</v>
      </c>
      <c r="V145" s="17">
        <f t="shared" si="35"/>
        <v>0</v>
      </c>
    </row>
    <row r="146" spans="2:22" ht="21">
      <c r="B146" s="437" t="s">
        <v>113</v>
      </c>
      <c r="C146" s="29" t="s">
        <v>114</v>
      </c>
      <c r="D146" s="16" t="s">
        <v>22</v>
      </c>
      <c r="E146" s="17">
        <f t="shared" ref="E146:U146" si="36">SUM(E147:E151)</f>
        <v>0</v>
      </c>
      <c r="F146" s="17">
        <f t="shared" si="36"/>
        <v>0</v>
      </c>
      <c r="G146" s="17">
        <f t="shared" si="36"/>
        <v>0</v>
      </c>
      <c r="H146" s="17">
        <f t="shared" si="36"/>
        <v>0</v>
      </c>
      <c r="I146" s="17">
        <f t="shared" si="36"/>
        <v>0</v>
      </c>
      <c r="J146" s="17">
        <f t="shared" si="36"/>
        <v>0</v>
      </c>
      <c r="K146" s="17">
        <f t="shared" si="36"/>
        <v>0</v>
      </c>
      <c r="L146" s="17">
        <f t="shared" si="36"/>
        <v>0</v>
      </c>
      <c r="M146" s="17">
        <f t="shared" si="36"/>
        <v>0</v>
      </c>
      <c r="N146" s="17">
        <f t="shared" si="36"/>
        <v>0</v>
      </c>
      <c r="O146" s="17">
        <f t="shared" si="36"/>
        <v>0</v>
      </c>
      <c r="P146" s="17">
        <f t="shared" si="36"/>
        <v>0</v>
      </c>
      <c r="Q146" s="17">
        <f t="shared" si="36"/>
        <v>0</v>
      </c>
      <c r="R146" s="17">
        <f t="shared" si="36"/>
        <v>0</v>
      </c>
      <c r="S146" s="17">
        <f t="shared" si="36"/>
        <v>0</v>
      </c>
      <c r="T146" s="17">
        <f t="shared" si="36"/>
        <v>0</v>
      </c>
      <c r="U146" s="17">
        <f t="shared" si="36"/>
        <v>0</v>
      </c>
      <c r="V146" s="17">
        <f>SUM(V147:V151)</f>
        <v>0</v>
      </c>
    </row>
    <row r="147" spans="2:22">
      <c r="B147" s="437" t="s">
        <v>115</v>
      </c>
      <c r="C147" s="32" t="s">
        <v>49</v>
      </c>
      <c r="D147" s="16" t="s">
        <v>22</v>
      </c>
      <c r="E147" s="17">
        <f t="shared" ref="E147:V151" si="37">E108*E129/1000</f>
        <v>0</v>
      </c>
      <c r="F147" s="17">
        <f t="shared" si="37"/>
        <v>0</v>
      </c>
      <c r="G147" s="17">
        <f t="shared" si="37"/>
        <v>0</v>
      </c>
      <c r="H147" s="17">
        <f t="shared" si="37"/>
        <v>0</v>
      </c>
      <c r="I147" s="17">
        <f t="shared" si="37"/>
        <v>0</v>
      </c>
      <c r="J147" s="17">
        <f t="shared" si="37"/>
        <v>0</v>
      </c>
      <c r="K147" s="17">
        <f t="shared" si="37"/>
        <v>0</v>
      </c>
      <c r="L147" s="17">
        <f t="shared" si="37"/>
        <v>0</v>
      </c>
      <c r="M147" s="17">
        <f t="shared" si="37"/>
        <v>0</v>
      </c>
      <c r="N147" s="17">
        <f t="shared" si="37"/>
        <v>0</v>
      </c>
      <c r="O147" s="17">
        <f t="shared" si="37"/>
        <v>0</v>
      </c>
      <c r="P147" s="17">
        <f t="shared" si="37"/>
        <v>0</v>
      </c>
      <c r="Q147" s="17">
        <f t="shared" si="37"/>
        <v>0</v>
      </c>
      <c r="R147" s="17">
        <f t="shared" si="37"/>
        <v>0</v>
      </c>
      <c r="S147" s="17">
        <f t="shared" si="37"/>
        <v>0</v>
      </c>
      <c r="T147" s="17">
        <f t="shared" si="37"/>
        <v>0</v>
      </c>
      <c r="U147" s="17">
        <f t="shared" si="37"/>
        <v>0</v>
      </c>
      <c r="V147" s="17">
        <f t="shared" si="37"/>
        <v>0</v>
      </c>
    </row>
    <row r="148" spans="2:22">
      <c r="B148" s="437" t="s">
        <v>116</v>
      </c>
      <c r="C148" s="32" t="s">
        <v>51</v>
      </c>
      <c r="D148" s="16" t="s">
        <v>22</v>
      </c>
      <c r="E148" s="17">
        <f t="shared" si="37"/>
        <v>0</v>
      </c>
      <c r="F148" s="17">
        <f t="shared" si="37"/>
        <v>0</v>
      </c>
      <c r="G148" s="17">
        <f t="shared" si="37"/>
        <v>0</v>
      </c>
      <c r="H148" s="17">
        <f t="shared" si="37"/>
        <v>0</v>
      </c>
      <c r="I148" s="17">
        <f t="shared" si="37"/>
        <v>0</v>
      </c>
      <c r="J148" s="17">
        <f t="shared" si="37"/>
        <v>0</v>
      </c>
      <c r="K148" s="17">
        <f t="shared" si="37"/>
        <v>0</v>
      </c>
      <c r="L148" s="17">
        <f t="shared" si="37"/>
        <v>0</v>
      </c>
      <c r="M148" s="17">
        <f t="shared" si="37"/>
        <v>0</v>
      </c>
      <c r="N148" s="17">
        <f t="shared" si="37"/>
        <v>0</v>
      </c>
      <c r="O148" s="17">
        <f t="shared" si="37"/>
        <v>0</v>
      </c>
      <c r="P148" s="17">
        <f t="shared" si="37"/>
        <v>0</v>
      </c>
      <c r="Q148" s="17">
        <f t="shared" si="37"/>
        <v>0</v>
      </c>
      <c r="R148" s="17">
        <f t="shared" si="37"/>
        <v>0</v>
      </c>
      <c r="S148" s="17">
        <f t="shared" si="37"/>
        <v>0</v>
      </c>
      <c r="T148" s="17">
        <f t="shared" si="37"/>
        <v>0</v>
      </c>
      <c r="U148" s="17">
        <f t="shared" si="37"/>
        <v>0</v>
      </c>
      <c r="V148" s="17">
        <f t="shared" si="37"/>
        <v>0</v>
      </c>
    </row>
    <row r="149" spans="2:22">
      <c r="B149" s="437" t="s">
        <v>117</v>
      </c>
      <c r="C149" s="32" t="s">
        <v>53</v>
      </c>
      <c r="D149" s="16" t="s">
        <v>22</v>
      </c>
      <c r="E149" s="17">
        <f t="shared" si="37"/>
        <v>0</v>
      </c>
      <c r="F149" s="17">
        <f t="shared" si="37"/>
        <v>0</v>
      </c>
      <c r="G149" s="17">
        <f t="shared" si="37"/>
        <v>0</v>
      </c>
      <c r="H149" s="17">
        <f t="shared" si="37"/>
        <v>0</v>
      </c>
      <c r="I149" s="17">
        <f t="shared" si="37"/>
        <v>0</v>
      </c>
      <c r="J149" s="17">
        <f t="shared" si="37"/>
        <v>0</v>
      </c>
      <c r="K149" s="17">
        <f t="shared" si="37"/>
        <v>0</v>
      </c>
      <c r="L149" s="17">
        <f t="shared" si="37"/>
        <v>0</v>
      </c>
      <c r="M149" s="17">
        <f t="shared" si="37"/>
        <v>0</v>
      </c>
      <c r="N149" s="17">
        <f t="shared" si="37"/>
        <v>0</v>
      </c>
      <c r="O149" s="17">
        <f t="shared" si="37"/>
        <v>0</v>
      </c>
      <c r="P149" s="17">
        <f t="shared" si="37"/>
        <v>0</v>
      </c>
      <c r="Q149" s="17">
        <f t="shared" si="37"/>
        <v>0</v>
      </c>
      <c r="R149" s="17">
        <f t="shared" si="37"/>
        <v>0</v>
      </c>
      <c r="S149" s="17">
        <f t="shared" si="37"/>
        <v>0</v>
      </c>
      <c r="T149" s="17">
        <f t="shared" si="37"/>
        <v>0</v>
      </c>
      <c r="U149" s="17">
        <f t="shared" si="37"/>
        <v>0</v>
      </c>
      <c r="V149" s="17">
        <f t="shared" si="37"/>
        <v>0</v>
      </c>
    </row>
    <row r="150" spans="2:22">
      <c r="B150" s="437" t="s">
        <v>118</v>
      </c>
      <c r="C150" s="32" t="s">
        <v>55</v>
      </c>
      <c r="D150" s="16" t="s">
        <v>22</v>
      </c>
      <c r="E150" s="17">
        <f t="shared" si="37"/>
        <v>0</v>
      </c>
      <c r="F150" s="17">
        <f t="shared" si="37"/>
        <v>0</v>
      </c>
      <c r="G150" s="17">
        <f t="shared" si="37"/>
        <v>0</v>
      </c>
      <c r="H150" s="17">
        <f t="shared" si="37"/>
        <v>0</v>
      </c>
      <c r="I150" s="17">
        <f t="shared" si="37"/>
        <v>0</v>
      </c>
      <c r="J150" s="17">
        <f t="shared" si="37"/>
        <v>0</v>
      </c>
      <c r="K150" s="17">
        <f t="shared" si="37"/>
        <v>0</v>
      </c>
      <c r="L150" s="17">
        <f t="shared" si="37"/>
        <v>0</v>
      </c>
      <c r="M150" s="17">
        <f t="shared" si="37"/>
        <v>0</v>
      </c>
      <c r="N150" s="17">
        <f t="shared" si="37"/>
        <v>0</v>
      </c>
      <c r="O150" s="17">
        <f t="shared" si="37"/>
        <v>0</v>
      </c>
      <c r="P150" s="17">
        <f t="shared" si="37"/>
        <v>0</v>
      </c>
      <c r="Q150" s="17">
        <f t="shared" si="37"/>
        <v>0</v>
      </c>
      <c r="R150" s="17">
        <f t="shared" si="37"/>
        <v>0</v>
      </c>
      <c r="S150" s="17">
        <f t="shared" si="37"/>
        <v>0</v>
      </c>
      <c r="T150" s="17">
        <f t="shared" si="37"/>
        <v>0</v>
      </c>
      <c r="U150" s="17">
        <f t="shared" si="37"/>
        <v>0</v>
      </c>
      <c r="V150" s="17">
        <f t="shared" si="37"/>
        <v>0</v>
      </c>
    </row>
    <row r="151" spans="2:22">
      <c r="B151" s="437" t="s">
        <v>119</v>
      </c>
      <c r="C151" s="32" t="s">
        <v>68</v>
      </c>
      <c r="D151" s="16" t="s">
        <v>22</v>
      </c>
      <c r="E151" s="17">
        <f t="shared" si="37"/>
        <v>0</v>
      </c>
      <c r="F151" s="17">
        <f t="shared" si="37"/>
        <v>0</v>
      </c>
      <c r="G151" s="17">
        <f t="shared" si="37"/>
        <v>0</v>
      </c>
      <c r="H151" s="17">
        <f t="shared" si="37"/>
        <v>0</v>
      </c>
      <c r="I151" s="17">
        <f t="shared" si="37"/>
        <v>0</v>
      </c>
      <c r="J151" s="17">
        <f t="shared" si="37"/>
        <v>0</v>
      </c>
      <c r="K151" s="17">
        <f t="shared" si="37"/>
        <v>0</v>
      </c>
      <c r="L151" s="17">
        <f t="shared" si="37"/>
        <v>0</v>
      </c>
      <c r="M151" s="17">
        <f t="shared" si="37"/>
        <v>0</v>
      </c>
      <c r="N151" s="17">
        <f t="shared" si="37"/>
        <v>0</v>
      </c>
      <c r="O151" s="17">
        <f t="shared" si="37"/>
        <v>0</v>
      </c>
      <c r="P151" s="17">
        <f t="shared" si="37"/>
        <v>0</v>
      </c>
      <c r="Q151" s="17">
        <f t="shared" si="37"/>
        <v>0</v>
      </c>
      <c r="R151" s="17">
        <f t="shared" si="37"/>
        <v>0</v>
      </c>
      <c r="S151" s="17">
        <f t="shared" si="37"/>
        <v>0</v>
      </c>
      <c r="T151" s="17">
        <f t="shared" si="37"/>
        <v>0</v>
      </c>
      <c r="U151" s="17">
        <f t="shared" si="37"/>
        <v>0</v>
      </c>
      <c r="V151" s="17">
        <f t="shared" si="37"/>
        <v>0</v>
      </c>
    </row>
    <row r="152" spans="2:22" ht="21">
      <c r="B152" s="437" t="s">
        <v>120</v>
      </c>
      <c r="C152" s="29" t="s">
        <v>121</v>
      </c>
      <c r="D152" s="16" t="s">
        <v>22</v>
      </c>
      <c r="E152" s="17">
        <f t="shared" ref="E152:U152" si="38">SUM(E153:E157)</f>
        <v>0</v>
      </c>
      <c r="F152" s="17">
        <f t="shared" si="38"/>
        <v>0</v>
      </c>
      <c r="G152" s="17">
        <f t="shared" si="38"/>
        <v>0</v>
      </c>
      <c r="H152" s="17">
        <f t="shared" si="38"/>
        <v>0</v>
      </c>
      <c r="I152" s="17">
        <f t="shared" si="38"/>
        <v>0</v>
      </c>
      <c r="J152" s="17">
        <f t="shared" si="38"/>
        <v>0</v>
      </c>
      <c r="K152" s="17">
        <f t="shared" si="38"/>
        <v>0</v>
      </c>
      <c r="L152" s="17">
        <f t="shared" si="38"/>
        <v>0</v>
      </c>
      <c r="M152" s="17">
        <f t="shared" si="38"/>
        <v>0</v>
      </c>
      <c r="N152" s="17">
        <f t="shared" si="38"/>
        <v>0</v>
      </c>
      <c r="O152" s="17">
        <f t="shared" si="38"/>
        <v>0</v>
      </c>
      <c r="P152" s="17">
        <f t="shared" si="38"/>
        <v>0</v>
      </c>
      <c r="Q152" s="17">
        <f t="shared" si="38"/>
        <v>0</v>
      </c>
      <c r="R152" s="17">
        <f t="shared" si="38"/>
        <v>0</v>
      </c>
      <c r="S152" s="17">
        <f t="shared" si="38"/>
        <v>0</v>
      </c>
      <c r="T152" s="17">
        <f t="shared" si="38"/>
        <v>0</v>
      </c>
      <c r="U152" s="17">
        <f t="shared" si="38"/>
        <v>0</v>
      </c>
      <c r="V152" s="17">
        <f>SUM(V153:V157)</f>
        <v>0</v>
      </c>
    </row>
    <row r="153" spans="2:22">
      <c r="B153" s="437" t="s">
        <v>122</v>
      </c>
      <c r="C153" s="32" t="s">
        <v>49</v>
      </c>
      <c r="D153" s="16" t="s">
        <v>22</v>
      </c>
      <c r="E153" s="17">
        <f t="shared" ref="E153:V157" si="39">E114*E135</f>
        <v>0</v>
      </c>
      <c r="F153" s="17">
        <f t="shared" si="39"/>
        <v>0</v>
      </c>
      <c r="G153" s="17">
        <f t="shared" si="39"/>
        <v>0</v>
      </c>
      <c r="H153" s="17">
        <f t="shared" si="39"/>
        <v>0</v>
      </c>
      <c r="I153" s="17">
        <f t="shared" si="39"/>
        <v>0</v>
      </c>
      <c r="J153" s="17">
        <f t="shared" si="39"/>
        <v>0</v>
      </c>
      <c r="K153" s="17">
        <f t="shared" si="39"/>
        <v>0</v>
      </c>
      <c r="L153" s="17">
        <f t="shared" si="39"/>
        <v>0</v>
      </c>
      <c r="M153" s="17">
        <f t="shared" si="39"/>
        <v>0</v>
      </c>
      <c r="N153" s="17">
        <f t="shared" si="39"/>
        <v>0</v>
      </c>
      <c r="O153" s="17">
        <f t="shared" si="39"/>
        <v>0</v>
      </c>
      <c r="P153" s="17">
        <f t="shared" si="39"/>
        <v>0</v>
      </c>
      <c r="Q153" s="17">
        <f t="shared" si="39"/>
        <v>0</v>
      </c>
      <c r="R153" s="17">
        <f t="shared" si="39"/>
        <v>0</v>
      </c>
      <c r="S153" s="17">
        <f t="shared" si="39"/>
        <v>0</v>
      </c>
      <c r="T153" s="17">
        <f t="shared" si="39"/>
        <v>0</v>
      </c>
      <c r="U153" s="17">
        <f t="shared" si="39"/>
        <v>0</v>
      </c>
      <c r="V153" s="17">
        <f t="shared" si="39"/>
        <v>0</v>
      </c>
    </row>
    <row r="154" spans="2:22">
      <c r="B154" s="437" t="s">
        <v>123</v>
      </c>
      <c r="C154" s="32" t="s">
        <v>51</v>
      </c>
      <c r="D154" s="16" t="s">
        <v>22</v>
      </c>
      <c r="E154" s="17">
        <f t="shared" si="39"/>
        <v>0</v>
      </c>
      <c r="F154" s="17">
        <f t="shared" si="39"/>
        <v>0</v>
      </c>
      <c r="G154" s="17">
        <f t="shared" si="39"/>
        <v>0</v>
      </c>
      <c r="H154" s="17">
        <f t="shared" si="39"/>
        <v>0</v>
      </c>
      <c r="I154" s="17">
        <f t="shared" si="39"/>
        <v>0</v>
      </c>
      <c r="J154" s="17">
        <f t="shared" si="39"/>
        <v>0</v>
      </c>
      <c r="K154" s="17">
        <f t="shared" si="39"/>
        <v>0</v>
      </c>
      <c r="L154" s="17">
        <f t="shared" si="39"/>
        <v>0</v>
      </c>
      <c r="M154" s="17">
        <f t="shared" si="39"/>
        <v>0</v>
      </c>
      <c r="N154" s="17">
        <f t="shared" si="39"/>
        <v>0</v>
      </c>
      <c r="O154" s="17">
        <f t="shared" si="39"/>
        <v>0</v>
      </c>
      <c r="P154" s="17">
        <f t="shared" si="39"/>
        <v>0</v>
      </c>
      <c r="Q154" s="17">
        <f t="shared" si="39"/>
        <v>0</v>
      </c>
      <c r="R154" s="17">
        <f t="shared" si="39"/>
        <v>0</v>
      </c>
      <c r="S154" s="17">
        <f t="shared" si="39"/>
        <v>0</v>
      </c>
      <c r="T154" s="17">
        <f t="shared" si="39"/>
        <v>0</v>
      </c>
      <c r="U154" s="17">
        <f t="shared" si="39"/>
        <v>0</v>
      </c>
      <c r="V154" s="17">
        <f t="shared" si="39"/>
        <v>0</v>
      </c>
    </row>
    <row r="155" spans="2:22">
      <c r="B155" s="437" t="s">
        <v>124</v>
      </c>
      <c r="C155" s="32" t="s">
        <v>53</v>
      </c>
      <c r="D155" s="16" t="s">
        <v>22</v>
      </c>
      <c r="E155" s="17">
        <f t="shared" si="39"/>
        <v>0</v>
      </c>
      <c r="F155" s="17">
        <f t="shared" si="39"/>
        <v>0</v>
      </c>
      <c r="G155" s="17">
        <f t="shared" si="39"/>
        <v>0</v>
      </c>
      <c r="H155" s="17">
        <f t="shared" si="39"/>
        <v>0</v>
      </c>
      <c r="I155" s="17">
        <f t="shared" si="39"/>
        <v>0</v>
      </c>
      <c r="J155" s="17">
        <f t="shared" si="39"/>
        <v>0</v>
      </c>
      <c r="K155" s="17">
        <f t="shared" si="39"/>
        <v>0</v>
      </c>
      <c r="L155" s="17">
        <f t="shared" si="39"/>
        <v>0</v>
      </c>
      <c r="M155" s="17">
        <f t="shared" si="39"/>
        <v>0</v>
      </c>
      <c r="N155" s="17">
        <f t="shared" si="39"/>
        <v>0</v>
      </c>
      <c r="O155" s="17">
        <f t="shared" si="39"/>
        <v>0</v>
      </c>
      <c r="P155" s="17">
        <f t="shared" si="39"/>
        <v>0</v>
      </c>
      <c r="Q155" s="17">
        <f t="shared" si="39"/>
        <v>0</v>
      </c>
      <c r="R155" s="17">
        <f t="shared" si="39"/>
        <v>0</v>
      </c>
      <c r="S155" s="17">
        <f t="shared" si="39"/>
        <v>0</v>
      </c>
      <c r="T155" s="17">
        <f t="shared" si="39"/>
        <v>0</v>
      </c>
      <c r="U155" s="17">
        <f t="shared" si="39"/>
        <v>0</v>
      </c>
      <c r="V155" s="17">
        <f t="shared" si="39"/>
        <v>0</v>
      </c>
    </row>
    <row r="156" spans="2:22">
      <c r="B156" s="437" t="s">
        <v>125</v>
      </c>
      <c r="C156" s="32" t="s">
        <v>55</v>
      </c>
      <c r="D156" s="16" t="s">
        <v>22</v>
      </c>
      <c r="E156" s="17">
        <f t="shared" si="39"/>
        <v>0</v>
      </c>
      <c r="F156" s="17">
        <f t="shared" si="39"/>
        <v>0</v>
      </c>
      <c r="G156" s="17">
        <f t="shared" si="39"/>
        <v>0</v>
      </c>
      <c r="H156" s="17">
        <f t="shared" si="39"/>
        <v>0</v>
      </c>
      <c r="I156" s="17">
        <f t="shared" si="39"/>
        <v>0</v>
      </c>
      <c r="J156" s="17">
        <f t="shared" si="39"/>
        <v>0</v>
      </c>
      <c r="K156" s="17">
        <f t="shared" si="39"/>
        <v>0</v>
      </c>
      <c r="L156" s="17">
        <f t="shared" si="39"/>
        <v>0</v>
      </c>
      <c r="M156" s="17">
        <f t="shared" si="39"/>
        <v>0</v>
      </c>
      <c r="N156" s="17">
        <f t="shared" si="39"/>
        <v>0</v>
      </c>
      <c r="O156" s="17">
        <f t="shared" si="39"/>
        <v>0</v>
      </c>
      <c r="P156" s="17">
        <f t="shared" si="39"/>
        <v>0</v>
      </c>
      <c r="Q156" s="17">
        <f t="shared" si="39"/>
        <v>0</v>
      </c>
      <c r="R156" s="17">
        <f t="shared" si="39"/>
        <v>0</v>
      </c>
      <c r="S156" s="17">
        <f t="shared" si="39"/>
        <v>0</v>
      </c>
      <c r="T156" s="17">
        <f t="shared" si="39"/>
        <v>0</v>
      </c>
      <c r="U156" s="17">
        <f t="shared" si="39"/>
        <v>0</v>
      </c>
      <c r="V156" s="17">
        <f t="shared" si="39"/>
        <v>0</v>
      </c>
    </row>
    <row r="157" spans="2:22">
      <c r="B157" s="437" t="s">
        <v>126</v>
      </c>
      <c r="C157" s="32" t="s">
        <v>68</v>
      </c>
      <c r="D157" s="16" t="s">
        <v>22</v>
      </c>
      <c r="E157" s="17">
        <f t="shared" si="39"/>
        <v>0</v>
      </c>
      <c r="F157" s="17">
        <f t="shared" si="39"/>
        <v>0</v>
      </c>
      <c r="G157" s="17">
        <f t="shared" si="39"/>
        <v>0</v>
      </c>
      <c r="H157" s="17">
        <f t="shared" si="39"/>
        <v>0</v>
      </c>
      <c r="I157" s="17">
        <f t="shared" si="39"/>
        <v>0</v>
      </c>
      <c r="J157" s="17">
        <f t="shared" si="39"/>
        <v>0</v>
      </c>
      <c r="K157" s="17">
        <f t="shared" si="39"/>
        <v>0</v>
      </c>
      <c r="L157" s="17">
        <f t="shared" si="39"/>
        <v>0</v>
      </c>
      <c r="M157" s="17">
        <f t="shared" si="39"/>
        <v>0</v>
      </c>
      <c r="N157" s="17">
        <f t="shared" si="39"/>
        <v>0</v>
      </c>
      <c r="O157" s="17">
        <f t="shared" si="39"/>
        <v>0</v>
      </c>
      <c r="P157" s="17">
        <f t="shared" si="39"/>
        <v>0</v>
      </c>
      <c r="Q157" s="17">
        <f t="shared" si="39"/>
        <v>0</v>
      </c>
      <c r="R157" s="17">
        <f t="shared" si="39"/>
        <v>0</v>
      </c>
      <c r="S157" s="17">
        <f t="shared" si="39"/>
        <v>0</v>
      </c>
      <c r="T157" s="17">
        <f t="shared" si="39"/>
        <v>0</v>
      </c>
      <c r="U157" s="17">
        <f t="shared" si="39"/>
        <v>0</v>
      </c>
      <c r="V157" s="17">
        <f t="shared" si="39"/>
        <v>0</v>
      </c>
    </row>
    <row r="158" spans="2:22" ht="25.5">
      <c r="B158" s="437"/>
      <c r="C158" s="295" t="s">
        <v>947</v>
      </c>
      <c r="D158" s="420" t="s">
        <v>22</v>
      </c>
      <c r="E158" s="297">
        <f t="shared" ref="E158:V158" si="40">SUM(E140,E146,E152)</f>
        <v>99221.137437240002</v>
      </c>
      <c r="F158" s="297">
        <f t="shared" si="40"/>
        <v>89004.966489000013</v>
      </c>
      <c r="G158" s="297">
        <f t="shared" si="40"/>
        <v>96985.123200000002</v>
      </c>
      <c r="H158" s="297">
        <f t="shared" si="40"/>
        <v>85528.502428000007</v>
      </c>
      <c r="I158" s="297">
        <f t="shared" si="40"/>
        <v>103386.4615</v>
      </c>
      <c r="J158" s="297">
        <f t="shared" si="40"/>
        <v>89513.111502600004</v>
      </c>
      <c r="K158" s="297">
        <f t="shared" si="40"/>
        <v>105015.211814471</v>
      </c>
      <c r="L158" s="297">
        <f t="shared" si="40"/>
        <v>99451.700528768008</v>
      </c>
      <c r="M158" s="297">
        <f t="shared" si="40"/>
        <v>109072.11640852</v>
      </c>
      <c r="N158" s="297">
        <f t="shared" si="40"/>
        <v>90138.072166706173</v>
      </c>
      <c r="O158" s="297">
        <f t="shared" si="40"/>
        <v>128034.07871050001</v>
      </c>
      <c r="P158" s="297">
        <f t="shared" si="40"/>
        <v>93538.252412552174</v>
      </c>
      <c r="Q158" s="297">
        <f t="shared" si="40"/>
        <v>140475.9225556</v>
      </c>
      <c r="R158" s="297">
        <f t="shared" si="40"/>
        <v>0</v>
      </c>
      <c r="S158" s="297">
        <f t="shared" si="40"/>
        <v>154525.60399899998</v>
      </c>
      <c r="T158" s="297">
        <f t="shared" si="40"/>
        <v>0</v>
      </c>
      <c r="U158" s="297">
        <f t="shared" si="40"/>
        <v>170006.52425799999</v>
      </c>
      <c r="V158" s="297">
        <f t="shared" si="40"/>
        <v>0</v>
      </c>
    </row>
    <row r="159" spans="2:22">
      <c r="B159" s="430"/>
      <c r="N159" s="118"/>
    </row>
    <row r="160" spans="2:22">
      <c r="B160" s="430"/>
      <c r="G160" s="1601" t="s">
        <v>948</v>
      </c>
      <c r="H160" s="1601"/>
      <c r="I160" s="1601"/>
      <c r="J160" s="1601"/>
      <c r="K160" s="1601"/>
      <c r="L160" s="1601"/>
      <c r="N160" s="991"/>
      <c r="P160" s="118">
        <f>'К ВС'!U18</f>
        <v>93538.245330000005</v>
      </c>
    </row>
    <row r="161" spans="2:22">
      <c r="B161" s="430"/>
      <c r="G161" s="1601" t="s">
        <v>889</v>
      </c>
      <c r="H161" s="1601"/>
      <c r="I161" s="1601"/>
      <c r="J161" s="1601"/>
      <c r="K161" s="1601"/>
      <c r="L161" s="1601"/>
      <c r="P161" s="1">
        <f>P160/N158</f>
        <v>1.0377218314255199</v>
      </c>
    </row>
    <row r="162" spans="2:22">
      <c r="B162" s="430"/>
      <c r="G162" s="418" t="s">
        <v>890</v>
      </c>
      <c r="H162" s="418"/>
      <c r="I162" s="418"/>
      <c r="J162" s="418"/>
      <c r="K162" s="418"/>
      <c r="L162" s="418"/>
      <c r="P162" s="1">
        <v>0.56999999999999995</v>
      </c>
    </row>
    <row r="163" spans="2:22">
      <c r="B163" s="430"/>
      <c r="G163" s="1601" t="s">
        <v>891</v>
      </c>
      <c r="H163" s="1601"/>
      <c r="I163" s="1601"/>
      <c r="J163" s="1601"/>
      <c r="K163" s="1601"/>
      <c r="L163" s="1601"/>
    </row>
    <row r="164" spans="2:22">
      <c r="B164" s="430"/>
      <c r="C164" s="332"/>
      <c r="D164" s="332"/>
    </row>
    <row r="165" spans="2:22" ht="15.75">
      <c r="B165" s="419" t="s">
        <v>949</v>
      </c>
      <c r="C165" s="994"/>
      <c r="D165" s="994"/>
      <c r="K165" s="1">
        <v>1.26353</v>
      </c>
      <c r="M165" s="1">
        <v>1.04</v>
      </c>
      <c r="O165" s="118">
        <f>O170/M170</f>
        <v>1.0219771787987852</v>
      </c>
      <c r="P165" s="118"/>
      <c r="Q165" s="118">
        <f>Q170/O170</f>
        <v>1.0572564709438752</v>
      </c>
      <c r="R165" s="118"/>
      <c r="S165" s="118">
        <f>S170/Q170</f>
        <v>1.050044048707339</v>
      </c>
      <c r="T165" s="118"/>
      <c r="U165" s="118">
        <f>U170/S170</f>
        <v>1.0499992552153543</v>
      </c>
      <c r="V165" s="118"/>
    </row>
    <row r="166" spans="2:22" ht="24" customHeight="1">
      <c r="B166" s="1597" t="s">
        <v>539</v>
      </c>
      <c r="C166" s="1598" t="s">
        <v>540</v>
      </c>
      <c r="D166" s="1599" t="s">
        <v>541</v>
      </c>
      <c r="E166" s="1596" t="s">
        <v>4</v>
      </c>
      <c r="F166" s="1596"/>
      <c r="G166" s="1596" t="s">
        <v>5</v>
      </c>
      <c r="H166" s="1596"/>
      <c r="I166" s="1596" t="s">
        <v>6</v>
      </c>
      <c r="J166" s="1596"/>
      <c r="K166" s="1596" t="s">
        <v>7</v>
      </c>
      <c r="L166" s="1596"/>
      <c r="M166" s="1596" t="str">
        <f>M95</f>
        <v>Факт 2019 год</v>
      </c>
      <c r="N166" s="1596"/>
      <c r="O166" s="1596" t="s">
        <v>9</v>
      </c>
      <c r="P166" s="1596"/>
      <c r="Q166" s="1596" t="s">
        <v>10</v>
      </c>
      <c r="R166" s="1596"/>
      <c r="S166" s="1596" t="s">
        <v>11</v>
      </c>
      <c r="T166" s="1596"/>
      <c r="U166" s="1596" t="s">
        <v>12</v>
      </c>
      <c r="V166" s="1596"/>
    </row>
    <row r="167" spans="2:22" ht="37.35" customHeight="1">
      <c r="B167" s="1597"/>
      <c r="C167" s="1598"/>
      <c r="D167" s="1599"/>
      <c r="E167" s="149" t="s">
        <v>13</v>
      </c>
      <c r="F167" s="150" t="s">
        <v>14</v>
      </c>
      <c r="G167" s="149" t="s">
        <v>13</v>
      </c>
      <c r="H167" s="150" t="s">
        <v>14</v>
      </c>
      <c r="I167" s="149" t="s">
        <v>13</v>
      </c>
      <c r="J167" s="150" t="s">
        <v>14</v>
      </c>
      <c r="K167" s="149" t="s">
        <v>13</v>
      </c>
      <c r="L167" s="150" t="s">
        <v>15</v>
      </c>
      <c r="M167" s="149" t="s">
        <v>16</v>
      </c>
      <c r="N167" s="150" t="s">
        <v>17</v>
      </c>
      <c r="O167" s="149" t="s">
        <v>16</v>
      </c>
      <c r="P167" s="150" t="s">
        <v>17</v>
      </c>
      <c r="Q167" s="149" t="s">
        <v>16</v>
      </c>
      <c r="R167" s="150" t="s">
        <v>17</v>
      </c>
      <c r="S167" s="149" t="s">
        <v>16</v>
      </c>
      <c r="T167" s="150" t="s">
        <v>17</v>
      </c>
      <c r="U167" s="149" t="s">
        <v>16</v>
      </c>
      <c r="V167" s="150" t="s">
        <v>17</v>
      </c>
    </row>
    <row r="168" spans="2:22">
      <c r="B168" s="155">
        <v>1</v>
      </c>
      <c r="C168" s="155">
        <v>2</v>
      </c>
      <c r="D168" s="155">
        <v>3</v>
      </c>
      <c r="E168" s="155">
        <v>4</v>
      </c>
      <c r="F168" s="155">
        <v>5</v>
      </c>
      <c r="G168" s="155">
        <v>6</v>
      </c>
      <c r="H168" s="155">
        <v>7</v>
      </c>
      <c r="I168" s="155">
        <v>8</v>
      </c>
      <c r="J168" s="155">
        <v>9</v>
      </c>
      <c r="K168" s="155">
        <v>10</v>
      </c>
      <c r="L168" s="155">
        <v>11</v>
      </c>
      <c r="M168" s="155">
        <v>12</v>
      </c>
      <c r="N168" s="155">
        <v>13</v>
      </c>
      <c r="O168" s="155">
        <v>14</v>
      </c>
      <c r="P168" s="155">
        <v>15</v>
      </c>
      <c r="Q168" s="155">
        <v>16</v>
      </c>
      <c r="R168" s="155">
        <v>17</v>
      </c>
      <c r="S168" s="155">
        <v>18</v>
      </c>
      <c r="T168" s="155">
        <v>19</v>
      </c>
      <c r="U168" s="155">
        <v>20</v>
      </c>
      <c r="V168" s="155">
        <v>21</v>
      </c>
    </row>
    <row r="169" spans="2:22">
      <c r="B169" s="340"/>
      <c r="C169" s="32" t="s">
        <v>950</v>
      </c>
      <c r="D169" s="16" t="s">
        <v>951</v>
      </c>
      <c r="E169" s="22">
        <v>1950</v>
      </c>
      <c r="F169" s="22">
        <v>2450</v>
      </c>
      <c r="G169" s="22">
        <v>2252.5</v>
      </c>
      <c r="H169" s="22">
        <v>2502.5100000000002</v>
      </c>
      <c r="I169" s="22">
        <v>2252.5</v>
      </c>
      <c r="J169" s="22">
        <v>2175.1999999999998</v>
      </c>
      <c r="K169" s="22">
        <f>I169*K165</f>
        <v>2846.1013250000001</v>
      </c>
      <c r="L169" s="22">
        <v>3680.08</v>
      </c>
      <c r="M169" s="22">
        <v>3886.6</v>
      </c>
      <c r="N169" s="22"/>
      <c r="O169" s="22">
        <v>2111.5</v>
      </c>
      <c r="P169" s="22"/>
      <c r="Q169" s="22">
        <v>2366.2999</v>
      </c>
      <c r="R169" s="22"/>
      <c r="S169" s="22">
        <v>2366.1999999999998</v>
      </c>
      <c r="T169" s="22"/>
      <c r="U169" s="22">
        <v>2366.1999999999998</v>
      </c>
      <c r="V169" s="22"/>
    </row>
    <row r="170" spans="2:22">
      <c r="B170" s="340"/>
      <c r="C170" s="32" t="s">
        <v>952</v>
      </c>
      <c r="D170" s="16" t="s">
        <v>953</v>
      </c>
      <c r="E170" s="22">
        <f>2715.31/1.95</f>
        <v>1392.4666666666667</v>
      </c>
      <c r="F170" s="22">
        <f>3559.12/2.45</f>
        <v>1452.7020408163264</v>
      </c>
      <c r="G170" s="22">
        <v>1547.75</v>
      </c>
      <c r="H170" s="22">
        <v>1752.13</v>
      </c>
      <c r="I170" s="22">
        <v>1594.18</v>
      </c>
      <c r="J170" s="22">
        <v>1871.9611989702096</v>
      </c>
      <c r="K170" s="22">
        <f>I170</f>
        <v>1594.18</v>
      </c>
      <c r="L170" s="22">
        <v>1949</v>
      </c>
      <c r="M170" s="22">
        <v>2000.547</v>
      </c>
      <c r="N170" s="22"/>
      <c r="O170" s="22">
        <f>4316.99/2111.5*1000</f>
        <v>2044.5133791143735</v>
      </c>
      <c r="P170" s="22"/>
      <c r="Q170" s="22">
        <v>2161.5749999999998</v>
      </c>
      <c r="R170" s="22"/>
      <c r="S170" s="22">
        <f>5370.68/2366.2*1000</f>
        <v>2269.7489645845662</v>
      </c>
      <c r="T170" s="22"/>
      <c r="U170" s="22">
        <f>5639.21/2366.2*1000</f>
        <v>2383.2347223396164</v>
      </c>
      <c r="V170" s="22"/>
    </row>
    <row r="171" spans="2:22">
      <c r="B171" s="155">
        <v>1</v>
      </c>
      <c r="C171" s="164" t="s">
        <v>954</v>
      </c>
      <c r="D171" s="16" t="s">
        <v>22</v>
      </c>
      <c r="E171" s="17">
        <f>E169*E170/1000</f>
        <v>2715.31</v>
      </c>
      <c r="F171" s="17">
        <f>F169*F170/1000</f>
        <v>3559.1199999999994</v>
      </c>
      <c r="G171" s="17">
        <f>G169*G170/1000</f>
        <v>3486.3068750000002</v>
      </c>
      <c r="H171" s="17">
        <f>H169*H170/1000+0.01</f>
        <v>4384.7328463000003</v>
      </c>
      <c r="I171" s="17">
        <f t="shared" ref="I171:V171" si="41">I169*I170/1000</f>
        <v>3590.8904500000003</v>
      </c>
      <c r="J171" s="17">
        <f t="shared" si="41"/>
        <v>4071.8899999999994</v>
      </c>
      <c r="K171" s="17">
        <f t="shared" si="41"/>
        <v>4537.1978102885005</v>
      </c>
      <c r="L171" s="17">
        <f t="shared" si="41"/>
        <v>7172.4759199999999</v>
      </c>
      <c r="M171" s="17">
        <f t="shared" si="41"/>
        <v>7775.3259702000005</v>
      </c>
      <c r="N171" s="17">
        <f t="shared" si="41"/>
        <v>0</v>
      </c>
      <c r="O171" s="17">
        <f t="shared" si="41"/>
        <v>4316.99</v>
      </c>
      <c r="P171" s="17">
        <f t="shared" si="41"/>
        <v>0</v>
      </c>
      <c r="Q171" s="17">
        <f t="shared" si="41"/>
        <v>5114.9347063424993</v>
      </c>
      <c r="R171" s="17">
        <f t="shared" si="41"/>
        <v>0</v>
      </c>
      <c r="S171" s="17">
        <f>S169*S170/1000</f>
        <v>5370.68</v>
      </c>
      <c r="T171" s="17">
        <f t="shared" si="41"/>
        <v>0</v>
      </c>
      <c r="U171" s="17">
        <f t="shared" si="41"/>
        <v>5639.21</v>
      </c>
      <c r="V171" s="17">
        <f t="shared" si="41"/>
        <v>0</v>
      </c>
    </row>
    <row r="172" spans="2:22" ht="21">
      <c r="B172" s="340"/>
      <c r="C172" s="32" t="s">
        <v>955</v>
      </c>
      <c r="D172" s="16" t="s">
        <v>956</v>
      </c>
      <c r="E172" s="22">
        <v>0</v>
      </c>
      <c r="F172" s="22">
        <v>0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2:22">
      <c r="B173" s="155"/>
      <c r="C173" s="32" t="s">
        <v>61</v>
      </c>
      <c r="D173" s="16" t="s">
        <v>957</v>
      </c>
      <c r="E173" s="22">
        <v>0</v>
      </c>
      <c r="F173" s="22">
        <v>0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2:22">
      <c r="B174" s="155">
        <v>2</v>
      </c>
      <c r="C174" s="164" t="s">
        <v>958</v>
      </c>
      <c r="D174" s="16" t="s">
        <v>22</v>
      </c>
      <c r="E174" s="17">
        <f t="shared" ref="E174:V174" si="42">E172*E173/1000</f>
        <v>0</v>
      </c>
      <c r="F174" s="17">
        <f t="shared" si="42"/>
        <v>0</v>
      </c>
      <c r="G174" s="17">
        <f t="shared" si="42"/>
        <v>0</v>
      </c>
      <c r="H174" s="17">
        <f t="shared" si="42"/>
        <v>0</v>
      </c>
      <c r="I174" s="17">
        <f t="shared" si="42"/>
        <v>0</v>
      </c>
      <c r="J174" s="17">
        <f t="shared" si="42"/>
        <v>0</v>
      </c>
      <c r="K174" s="17">
        <f t="shared" si="42"/>
        <v>0</v>
      </c>
      <c r="L174" s="17">
        <f t="shared" si="42"/>
        <v>0</v>
      </c>
      <c r="M174" s="17">
        <f t="shared" si="42"/>
        <v>0</v>
      </c>
      <c r="N174" s="17">
        <f t="shared" si="42"/>
        <v>0</v>
      </c>
      <c r="O174" s="17">
        <f t="shared" si="42"/>
        <v>0</v>
      </c>
      <c r="P174" s="17">
        <f t="shared" si="42"/>
        <v>0</v>
      </c>
      <c r="Q174" s="17">
        <f t="shared" si="42"/>
        <v>0</v>
      </c>
      <c r="R174" s="17">
        <f t="shared" si="42"/>
        <v>0</v>
      </c>
      <c r="S174" s="17">
        <f t="shared" si="42"/>
        <v>0</v>
      </c>
      <c r="T174" s="17">
        <f t="shared" si="42"/>
        <v>0</v>
      </c>
      <c r="U174" s="17">
        <f t="shared" si="42"/>
        <v>0</v>
      </c>
      <c r="V174" s="17">
        <f t="shared" si="42"/>
        <v>0</v>
      </c>
    </row>
    <row r="175" spans="2:22" ht="25.5">
      <c r="B175" s="320">
        <v>3</v>
      </c>
      <c r="C175" s="295" t="s">
        <v>959</v>
      </c>
      <c r="D175" s="416" t="s">
        <v>22</v>
      </c>
      <c r="E175" s="297">
        <f t="shared" ref="E175:V175" si="43">E171+E174</f>
        <v>2715.31</v>
      </c>
      <c r="F175" s="297">
        <f t="shared" si="43"/>
        <v>3559.1199999999994</v>
      </c>
      <c r="G175" s="297">
        <f t="shared" si="43"/>
        <v>3486.3068750000002</v>
      </c>
      <c r="H175" s="297">
        <f t="shared" si="43"/>
        <v>4384.7328463000003</v>
      </c>
      <c r="I175" s="297">
        <f>I171+I174+7.04</f>
        <v>3597.9304500000003</v>
      </c>
      <c r="J175" s="297">
        <f t="shared" si="43"/>
        <v>4071.8899999999994</v>
      </c>
      <c r="K175" s="297">
        <f t="shared" si="43"/>
        <v>4537.1978102885005</v>
      </c>
      <c r="L175" s="297">
        <f t="shared" si="43"/>
        <v>7172.4759199999999</v>
      </c>
      <c r="M175" s="297">
        <f t="shared" si="43"/>
        <v>7775.3259702000005</v>
      </c>
      <c r="N175" s="297">
        <f t="shared" si="43"/>
        <v>0</v>
      </c>
      <c r="O175" s="297">
        <f t="shared" si="43"/>
        <v>4316.99</v>
      </c>
      <c r="P175" s="297">
        <f t="shared" si="43"/>
        <v>0</v>
      </c>
      <c r="Q175" s="297">
        <f t="shared" si="43"/>
        <v>5114.9347063424993</v>
      </c>
      <c r="R175" s="297">
        <f t="shared" si="43"/>
        <v>0</v>
      </c>
      <c r="S175" s="297">
        <f t="shared" si="43"/>
        <v>5370.68</v>
      </c>
      <c r="T175" s="297">
        <f t="shared" si="43"/>
        <v>0</v>
      </c>
      <c r="U175" s="297">
        <f t="shared" si="43"/>
        <v>5639.21</v>
      </c>
      <c r="V175" s="297">
        <f t="shared" si="43"/>
        <v>0</v>
      </c>
    </row>
    <row r="177" spans="2:22">
      <c r="G177" s="1601" t="s">
        <v>960</v>
      </c>
      <c r="H177" s="1601"/>
      <c r="I177" s="1601"/>
      <c r="J177" s="1601"/>
      <c r="K177" s="1601"/>
      <c r="L177" s="1601"/>
      <c r="M177" s="118"/>
      <c r="N177" s="118"/>
      <c r="O177" s="118"/>
      <c r="P177" s="118"/>
      <c r="Q177" s="118"/>
      <c r="R177" s="118"/>
      <c r="S177" s="118"/>
      <c r="T177" s="118"/>
      <c r="U177" s="118"/>
    </row>
    <row r="178" spans="2:22">
      <c r="G178" s="1601" t="s">
        <v>889</v>
      </c>
      <c r="H178" s="1601"/>
      <c r="I178" s="1601"/>
      <c r="J178" s="1601"/>
      <c r="K178" s="1601"/>
      <c r="L178" s="1601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2:22">
      <c r="G179" s="418" t="s">
        <v>890</v>
      </c>
      <c r="H179" s="418"/>
      <c r="I179" s="418"/>
      <c r="J179" s="418"/>
      <c r="K179" s="418"/>
      <c r="L179" s="418"/>
    </row>
    <row r="180" spans="2:22">
      <c r="G180" s="1601" t="s">
        <v>891</v>
      </c>
      <c r="H180" s="1601"/>
      <c r="I180" s="1601"/>
      <c r="J180" s="1601"/>
      <c r="K180" s="1601"/>
      <c r="L180" s="1601"/>
    </row>
    <row r="182" spans="2:22" ht="15.75">
      <c r="B182" s="419" t="s">
        <v>961</v>
      </c>
    </row>
    <row r="183" spans="2:22" ht="20.25" customHeight="1">
      <c r="B183" s="1597" t="s">
        <v>539</v>
      </c>
      <c r="C183" s="1598" t="s">
        <v>540</v>
      </c>
      <c r="D183" s="1599" t="s">
        <v>541</v>
      </c>
      <c r="E183" s="1596" t="s">
        <v>4</v>
      </c>
      <c r="F183" s="1596"/>
      <c r="G183" s="1596" t="s">
        <v>5</v>
      </c>
      <c r="H183" s="1596"/>
      <c r="I183" s="1596" t="s">
        <v>6</v>
      </c>
      <c r="J183" s="1596"/>
      <c r="K183" s="1596" t="s">
        <v>7</v>
      </c>
      <c r="L183" s="1596"/>
      <c r="M183" s="1596" t="str">
        <f>M166</f>
        <v>Факт 2019 год</v>
      </c>
      <c r="N183" s="1596"/>
      <c r="O183" s="1596" t="s">
        <v>9</v>
      </c>
      <c r="P183" s="1596"/>
      <c r="Q183" s="1596" t="s">
        <v>10</v>
      </c>
      <c r="R183" s="1596"/>
      <c r="S183" s="1596" t="s">
        <v>11</v>
      </c>
      <c r="T183" s="1596"/>
      <c r="U183" s="1596" t="s">
        <v>12</v>
      </c>
      <c r="V183" s="1596"/>
    </row>
    <row r="184" spans="2:22" ht="37.35" customHeight="1">
      <c r="B184" s="1597"/>
      <c r="C184" s="1598"/>
      <c r="D184" s="1599"/>
      <c r="E184" s="149" t="s">
        <v>13</v>
      </c>
      <c r="F184" s="150" t="s">
        <v>14</v>
      </c>
      <c r="G184" s="149" t="s">
        <v>13</v>
      </c>
      <c r="H184" s="150" t="s">
        <v>14</v>
      </c>
      <c r="I184" s="149" t="s">
        <v>13</v>
      </c>
      <c r="J184" s="150" t="s">
        <v>14</v>
      </c>
      <c r="K184" s="149" t="s">
        <v>13</v>
      </c>
      <c r="L184" s="150" t="s">
        <v>15</v>
      </c>
      <c r="M184" s="149" t="s">
        <v>16</v>
      </c>
      <c r="N184" s="150" t="s">
        <v>17</v>
      </c>
      <c r="O184" s="149" t="s">
        <v>16</v>
      </c>
      <c r="P184" s="150" t="s">
        <v>17</v>
      </c>
      <c r="Q184" s="149" t="s">
        <v>16</v>
      </c>
      <c r="R184" s="150" t="s">
        <v>17</v>
      </c>
      <c r="S184" s="149" t="s">
        <v>16</v>
      </c>
      <c r="T184" s="150" t="s">
        <v>17</v>
      </c>
      <c r="U184" s="149" t="s">
        <v>16</v>
      </c>
      <c r="V184" s="150" t="s">
        <v>17</v>
      </c>
    </row>
    <row r="185" spans="2:22">
      <c r="B185" s="155">
        <v>1</v>
      </c>
      <c r="C185" s="155">
        <v>2</v>
      </c>
      <c r="D185" s="155">
        <v>3</v>
      </c>
      <c r="E185" s="155">
        <v>4</v>
      </c>
      <c r="F185" s="155">
        <v>5</v>
      </c>
      <c r="G185" s="155">
        <v>6</v>
      </c>
      <c r="H185" s="155">
        <v>7</v>
      </c>
      <c r="I185" s="155">
        <v>8</v>
      </c>
      <c r="J185" s="155">
        <v>9</v>
      </c>
      <c r="K185" s="155">
        <v>10</v>
      </c>
      <c r="L185" s="155">
        <v>11</v>
      </c>
      <c r="M185" s="155">
        <v>12</v>
      </c>
      <c r="N185" s="155">
        <v>13</v>
      </c>
      <c r="O185" s="155">
        <v>14</v>
      </c>
      <c r="P185" s="155">
        <v>15</v>
      </c>
      <c r="Q185" s="155">
        <v>16</v>
      </c>
      <c r="R185" s="155">
        <v>17</v>
      </c>
      <c r="S185" s="155">
        <v>18</v>
      </c>
      <c r="T185" s="155">
        <v>19</v>
      </c>
      <c r="U185" s="155">
        <v>20</v>
      </c>
      <c r="V185" s="155">
        <v>21</v>
      </c>
    </row>
    <row r="186" spans="2:22">
      <c r="B186" s="320"/>
      <c r="C186" s="439" t="s">
        <v>962</v>
      </c>
      <c r="D186" s="42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2:22">
      <c r="B187" s="320"/>
      <c r="C187" s="32" t="s">
        <v>963</v>
      </c>
      <c r="D187" s="16" t="s">
        <v>139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2:22">
      <c r="B188" s="320"/>
      <c r="C188" s="32" t="s">
        <v>964</v>
      </c>
      <c r="D188" s="16" t="s">
        <v>136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2:22" ht="21">
      <c r="B189" s="320">
        <v>1</v>
      </c>
      <c r="C189" s="164" t="s">
        <v>965</v>
      </c>
      <c r="D189" s="16" t="s">
        <v>22</v>
      </c>
      <c r="E189" s="17">
        <f t="shared" ref="E189:V189" si="44">E187*E188/1000</f>
        <v>0</v>
      </c>
      <c r="F189" s="17">
        <f t="shared" si="44"/>
        <v>0</v>
      </c>
      <c r="G189" s="17">
        <f t="shared" si="44"/>
        <v>0</v>
      </c>
      <c r="H189" s="17">
        <f t="shared" si="44"/>
        <v>0</v>
      </c>
      <c r="I189" s="17">
        <f t="shared" si="44"/>
        <v>0</v>
      </c>
      <c r="J189" s="17">
        <f t="shared" si="44"/>
        <v>0</v>
      </c>
      <c r="K189" s="17">
        <f t="shared" si="44"/>
        <v>0</v>
      </c>
      <c r="L189" s="17">
        <f t="shared" si="44"/>
        <v>0</v>
      </c>
      <c r="M189" s="17">
        <f t="shared" si="44"/>
        <v>0</v>
      </c>
      <c r="N189" s="17">
        <f t="shared" si="44"/>
        <v>0</v>
      </c>
      <c r="O189" s="17">
        <f t="shared" si="44"/>
        <v>0</v>
      </c>
      <c r="P189" s="17">
        <f t="shared" si="44"/>
        <v>0</v>
      </c>
      <c r="Q189" s="17">
        <f t="shared" si="44"/>
        <v>0</v>
      </c>
      <c r="R189" s="17">
        <f t="shared" si="44"/>
        <v>0</v>
      </c>
      <c r="S189" s="17">
        <f t="shared" si="44"/>
        <v>0</v>
      </c>
      <c r="T189" s="17">
        <f t="shared" si="44"/>
        <v>0</v>
      </c>
      <c r="U189" s="17">
        <f t="shared" si="44"/>
        <v>0</v>
      </c>
      <c r="V189" s="17">
        <f t="shared" si="44"/>
        <v>0</v>
      </c>
    </row>
    <row r="190" spans="2:22">
      <c r="B190" s="320">
        <v>2</v>
      </c>
      <c r="C190" s="439" t="s">
        <v>966</v>
      </c>
      <c r="D190" s="42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2:22">
      <c r="B191" s="320">
        <v>3</v>
      </c>
      <c r="C191" s="439" t="s">
        <v>967</v>
      </c>
      <c r="D191" s="42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2:22" ht="25.5">
      <c r="B192" s="320">
        <v>4</v>
      </c>
      <c r="C192" s="295" t="s">
        <v>968</v>
      </c>
      <c r="D192" s="416" t="s">
        <v>22</v>
      </c>
      <c r="E192" s="297">
        <f t="shared" ref="E192:V192" si="45">E189+E190+E191</f>
        <v>0</v>
      </c>
      <c r="F192" s="297">
        <f t="shared" si="45"/>
        <v>0</v>
      </c>
      <c r="G192" s="297">
        <f t="shared" si="45"/>
        <v>0</v>
      </c>
      <c r="H192" s="297">
        <f t="shared" si="45"/>
        <v>0</v>
      </c>
      <c r="I192" s="297">
        <f t="shared" si="45"/>
        <v>0</v>
      </c>
      <c r="J192" s="297">
        <f t="shared" si="45"/>
        <v>0</v>
      </c>
      <c r="K192" s="297">
        <f t="shared" si="45"/>
        <v>0</v>
      </c>
      <c r="L192" s="297">
        <f t="shared" si="45"/>
        <v>0</v>
      </c>
      <c r="M192" s="297">
        <f t="shared" si="45"/>
        <v>0</v>
      </c>
      <c r="N192" s="297">
        <f t="shared" si="45"/>
        <v>0</v>
      </c>
      <c r="O192" s="297">
        <f t="shared" si="45"/>
        <v>0</v>
      </c>
      <c r="P192" s="297">
        <f t="shared" si="45"/>
        <v>0</v>
      </c>
      <c r="Q192" s="297">
        <f t="shared" si="45"/>
        <v>0</v>
      </c>
      <c r="R192" s="297">
        <f t="shared" si="45"/>
        <v>0</v>
      </c>
      <c r="S192" s="297">
        <f t="shared" si="45"/>
        <v>0</v>
      </c>
      <c r="T192" s="297">
        <f t="shared" si="45"/>
        <v>0</v>
      </c>
      <c r="U192" s="297">
        <f t="shared" si="45"/>
        <v>0</v>
      </c>
      <c r="V192" s="297">
        <f t="shared" si="45"/>
        <v>0</v>
      </c>
    </row>
    <row r="193" spans="2:22">
      <c r="B193" s="440"/>
    </row>
    <row r="194" spans="2:22">
      <c r="B194" s="440"/>
      <c r="G194" s="1601" t="s">
        <v>969</v>
      </c>
      <c r="H194" s="1601"/>
      <c r="I194" s="1601"/>
      <c r="J194" s="1601"/>
      <c r="K194" s="1601"/>
      <c r="L194" s="1601"/>
    </row>
    <row r="195" spans="2:22">
      <c r="G195" s="1601" t="s">
        <v>889</v>
      </c>
      <c r="H195" s="1601"/>
      <c r="I195" s="1601"/>
      <c r="J195" s="1601"/>
      <c r="K195" s="1601"/>
      <c r="L195" s="1601"/>
    </row>
    <row r="196" spans="2:22">
      <c r="G196" s="418" t="s">
        <v>890</v>
      </c>
      <c r="H196" s="418"/>
      <c r="I196" s="418"/>
      <c r="J196" s="418"/>
      <c r="K196" s="418"/>
      <c r="L196" s="418"/>
    </row>
    <row r="197" spans="2:22">
      <c r="G197" s="1601" t="s">
        <v>891</v>
      </c>
      <c r="H197" s="1601"/>
      <c r="I197" s="1601"/>
      <c r="J197" s="1601"/>
      <c r="K197" s="1601"/>
      <c r="L197" s="1601"/>
    </row>
    <row r="199" spans="2:22" ht="15.75">
      <c r="B199" s="419" t="s">
        <v>970</v>
      </c>
      <c r="I199" s="1">
        <v>1.02959</v>
      </c>
      <c r="K199" s="1">
        <v>1.026632</v>
      </c>
      <c r="M199" s="118">
        <f>M209/L209</f>
        <v>1.0207927138499611</v>
      </c>
      <c r="N199" s="118"/>
      <c r="O199" s="118">
        <v>1.1499999999999999</v>
      </c>
      <c r="P199" s="118"/>
      <c r="Q199" s="118">
        <f>Q205/O205</f>
        <v>1.0400068681318682</v>
      </c>
      <c r="R199" s="118"/>
      <c r="S199" s="118">
        <f>S205/Q205</f>
        <v>1.0399537724946344</v>
      </c>
      <c r="T199" s="118"/>
      <c r="U199" s="118">
        <f>U205/S205</f>
        <v>1.0400063502143198</v>
      </c>
      <c r="V199" s="118"/>
    </row>
    <row r="200" spans="2:22" ht="26.25" customHeight="1">
      <c r="B200" s="1597" t="s">
        <v>539</v>
      </c>
      <c r="C200" s="1598" t="s">
        <v>540</v>
      </c>
      <c r="D200" s="1599" t="s">
        <v>541</v>
      </c>
      <c r="E200" s="1596" t="s">
        <v>4</v>
      </c>
      <c r="F200" s="1596"/>
      <c r="G200" s="1596" t="s">
        <v>5</v>
      </c>
      <c r="H200" s="1596"/>
      <c r="I200" s="1596" t="s">
        <v>6</v>
      </c>
      <c r="J200" s="1596"/>
      <c r="K200" s="1596" t="s">
        <v>7</v>
      </c>
      <c r="L200" s="1596"/>
      <c r="M200" s="1596" t="str">
        <f>M183</f>
        <v>Факт 2019 год</v>
      </c>
      <c r="N200" s="1596"/>
      <c r="O200" s="1596" t="s">
        <v>9</v>
      </c>
      <c r="P200" s="1596"/>
      <c r="Q200" s="1596" t="s">
        <v>10</v>
      </c>
      <c r="R200" s="1596"/>
      <c r="S200" s="1596" t="s">
        <v>11</v>
      </c>
      <c r="T200" s="1596"/>
      <c r="U200" s="1596" t="s">
        <v>12</v>
      </c>
      <c r="V200" s="1596"/>
    </row>
    <row r="201" spans="2:22" ht="37.35" customHeight="1">
      <c r="B201" s="1597"/>
      <c r="C201" s="1598"/>
      <c r="D201" s="1599"/>
      <c r="E201" s="149" t="s">
        <v>13</v>
      </c>
      <c r="F201" s="150" t="s">
        <v>14</v>
      </c>
      <c r="G201" s="149" t="s">
        <v>13</v>
      </c>
      <c r="H201" s="150" t="s">
        <v>14</v>
      </c>
      <c r="I201" s="149" t="s">
        <v>13</v>
      </c>
      <c r="J201" s="150" t="s">
        <v>14</v>
      </c>
      <c r="K201" s="149" t="s">
        <v>13</v>
      </c>
      <c r="L201" s="150" t="s">
        <v>15</v>
      </c>
      <c r="M201" s="149" t="s">
        <v>16</v>
      </c>
      <c r="N201" s="150" t="s">
        <v>17</v>
      </c>
      <c r="O201" s="149" t="s">
        <v>16</v>
      </c>
      <c r="P201" s="150" t="s">
        <v>17</v>
      </c>
      <c r="Q201" s="149" t="s">
        <v>16</v>
      </c>
      <c r="R201" s="150" t="s">
        <v>17</v>
      </c>
      <c r="S201" s="149" t="s">
        <v>16</v>
      </c>
      <c r="T201" s="150" t="s">
        <v>17</v>
      </c>
      <c r="U201" s="149" t="s">
        <v>16</v>
      </c>
      <c r="V201" s="150" t="s">
        <v>17</v>
      </c>
    </row>
    <row r="202" spans="2:22">
      <c r="B202" s="155">
        <v>1</v>
      </c>
      <c r="C202" s="155">
        <v>2</v>
      </c>
      <c r="D202" s="155">
        <v>3</v>
      </c>
      <c r="E202" s="155">
        <v>4</v>
      </c>
      <c r="F202" s="155">
        <v>5</v>
      </c>
      <c r="G202" s="155">
        <v>6</v>
      </c>
      <c r="H202" s="155">
        <v>7</v>
      </c>
      <c r="I202" s="155">
        <v>8</v>
      </c>
      <c r="J202" s="155">
        <v>9</v>
      </c>
      <c r="K202" s="155">
        <v>10</v>
      </c>
      <c r="L202" s="155">
        <v>11</v>
      </c>
      <c r="M202" s="155">
        <v>12</v>
      </c>
      <c r="N202" s="155">
        <v>13</v>
      </c>
      <c r="O202" s="155">
        <v>14</v>
      </c>
      <c r="P202" s="155">
        <v>15</v>
      </c>
      <c r="Q202" s="155">
        <v>16</v>
      </c>
      <c r="R202" s="155">
        <v>17</v>
      </c>
      <c r="S202" s="155">
        <v>18</v>
      </c>
      <c r="T202" s="155">
        <v>19</v>
      </c>
      <c r="U202" s="155">
        <v>20</v>
      </c>
      <c r="V202" s="155">
        <v>21</v>
      </c>
    </row>
    <row r="203" spans="2:22">
      <c r="B203" s="340">
        <v>1</v>
      </c>
      <c r="C203" s="164" t="s">
        <v>709</v>
      </c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2:22">
      <c r="B204" s="334" t="s">
        <v>24</v>
      </c>
      <c r="C204" s="32" t="s">
        <v>971</v>
      </c>
      <c r="D204" s="16" t="s">
        <v>897</v>
      </c>
      <c r="E204" s="22">
        <v>198.14</v>
      </c>
      <c r="F204" s="22">
        <v>124.8</v>
      </c>
      <c r="G204" s="22">
        <v>210</v>
      </c>
      <c r="H204" s="22">
        <v>185.6</v>
      </c>
      <c r="I204" s="22">
        <f>G204</f>
        <v>210</v>
      </c>
      <c r="J204" s="22">
        <v>219.43700000000001</v>
      </c>
      <c r="K204" s="22">
        <f>I204</f>
        <v>210</v>
      </c>
      <c r="L204" s="22">
        <v>164.977</v>
      </c>
      <c r="M204" s="22">
        <v>52.18</v>
      </c>
      <c r="N204" s="22"/>
      <c r="O204" s="22">
        <v>60</v>
      </c>
      <c r="P204" s="22"/>
      <c r="Q204" s="22">
        <v>60</v>
      </c>
      <c r="R204" s="22"/>
      <c r="S204" s="22">
        <v>60</v>
      </c>
      <c r="T204" s="22"/>
      <c r="U204" s="22">
        <v>60</v>
      </c>
      <c r="V204" s="22"/>
    </row>
    <row r="205" spans="2:22">
      <c r="B205" s="428" t="s">
        <v>37</v>
      </c>
      <c r="C205" s="32" t="s">
        <v>972</v>
      </c>
      <c r="D205" s="16" t="s">
        <v>973</v>
      </c>
      <c r="E205" s="22">
        <f>833.03/198.14*1000</f>
        <v>4204.2495205410314</v>
      </c>
      <c r="F205" s="22">
        <f>544.5/124.8*1000</f>
        <v>4362.9807692307695</v>
      </c>
      <c r="G205" s="22">
        <f>961.38/210*1000</f>
        <v>4578</v>
      </c>
      <c r="H205" s="22">
        <f>833.72/185.6*1000</f>
        <v>4492.0258620689656</v>
      </c>
      <c r="I205" s="22">
        <f>G205*I199</f>
        <v>4713.4630200000001</v>
      </c>
      <c r="J205" s="22">
        <v>4538</v>
      </c>
      <c r="K205" s="22">
        <f>I205*K199</f>
        <v>4838.9919671486405</v>
      </c>
      <c r="L205" s="22">
        <v>5689</v>
      </c>
      <c r="M205" s="22">
        <v>5600</v>
      </c>
      <c r="N205" s="22"/>
      <c r="O205" s="22">
        <v>5824</v>
      </c>
      <c r="P205" s="22">
        <f>O205/M205</f>
        <v>1.04</v>
      </c>
      <c r="Q205" s="22">
        <v>6057</v>
      </c>
      <c r="R205" s="22"/>
      <c r="S205" s="22">
        <v>6299</v>
      </c>
      <c r="T205" s="22"/>
      <c r="U205" s="22">
        <v>6551</v>
      </c>
      <c r="V205" s="22"/>
    </row>
    <row r="206" spans="2:22">
      <c r="B206" s="428" t="s">
        <v>143</v>
      </c>
      <c r="C206" s="439"/>
      <c r="D206" s="16" t="s">
        <v>22</v>
      </c>
      <c r="E206" s="17">
        <f t="shared" ref="E206:V206" si="46">E204*E205/1000</f>
        <v>833.02999999999986</v>
      </c>
      <c r="F206" s="17">
        <f t="shared" si="46"/>
        <v>544.5</v>
      </c>
      <c r="G206" s="17">
        <f t="shared" si="46"/>
        <v>961.38</v>
      </c>
      <c r="H206" s="17">
        <f t="shared" si="46"/>
        <v>833.72</v>
      </c>
      <c r="I206" s="17">
        <f t="shared" si="46"/>
        <v>989.82723420000002</v>
      </c>
      <c r="J206" s="17">
        <f t="shared" si="46"/>
        <v>995.80510600000002</v>
      </c>
      <c r="K206" s="17">
        <f t="shared" si="46"/>
        <v>1016.1883131012145</v>
      </c>
      <c r="L206" s="17">
        <f>L204*L205/1000</f>
        <v>938.55415300000004</v>
      </c>
      <c r="M206" s="17">
        <f t="shared" si="46"/>
        <v>292.20800000000003</v>
      </c>
      <c r="N206" s="17">
        <f t="shared" si="46"/>
        <v>0</v>
      </c>
      <c r="O206" s="17">
        <f t="shared" si="46"/>
        <v>349.44</v>
      </c>
      <c r="P206" s="17">
        <f t="shared" si="46"/>
        <v>0</v>
      </c>
      <c r="Q206" s="17">
        <f>Q204*Q205/1000</f>
        <v>363.42</v>
      </c>
      <c r="R206" s="17">
        <f t="shared" si="46"/>
        <v>0</v>
      </c>
      <c r="S206" s="17">
        <f>S204*S205/1000+0.01</f>
        <v>377.95</v>
      </c>
      <c r="T206" s="17">
        <f t="shared" si="46"/>
        <v>0</v>
      </c>
      <c r="U206" s="17">
        <f>U204*U205/1000+0.01</f>
        <v>393.07</v>
      </c>
      <c r="V206" s="17">
        <f t="shared" si="46"/>
        <v>0</v>
      </c>
    </row>
    <row r="207" spans="2:22">
      <c r="B207" s="428" t="s">
        <v>196</v>
      </c>
      <c r="C207" s="164" t="s">
        <v>974</v>
      </c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2:22">
      <c r="B208" s="334" t="s">
        <v>198</v>
      </c>
      <c r="C208" s="32" t="s">
        <v>971</v>
      </c>
      <c r="D208" s="16" t="s">
        <v>975</v>
      </c>
      <c r="E208" s="22">
        <v>21</v>
      </c>
      <c r="F208" s="22">
        <v>68.03</v>
      </c>
      <c r="G208" s="22">
        <v>15</v>
      </c>
      <c r="H208" s="22">
        <v>88.46</v>
      </c>
      <c r="I208" s="22">
        <f>G208</f>
        <v>15</v>
      </c>
      <c r="J208" s="22">
        <v>71.22</v>
      </c>
      <c r="K208" s="22">
        <f>I208</f>
        <v>15</v>
      </c>
      <c r="L208" s="22">
        <v>81.709000000000003</v>
      </c>
      <c r="M208" s="22">
        <v>81.260000000000005</v>
      </c>
      <c r="N208" s="22"/>
      <c r="O208" s="22">
        <v>90</v>
      </c>
      <c r="P208" s="22"/>
      <c r="Q208" s="22">
        <v>88</v>
      </c>
      <c r="R208" s="22"/>
      <c r="S208" s="22">
        <v>88</v>
      </c>
      <c r="T208" s="22"/>
      <c r="U208" s="22">
        <v>88</v>
      </c>
      <c r="V208" s="22"/>
    </row>
    <row r="209" spans="2:22">
      <c r="B209" s="428" t="s">
        <v>202</v>
      </c>
      <c r="C209" s="32" t="s">
        <v>972</v>
      </c>
      <c r="D209" s="16" t="s">
        <v>976</v>
      </c>
      <c r="E209" s="22">
        <f>94.26/21*1000</f>
        <v>4488.5714285714284</v>
      </c>
      <c r="F209" s="22">
        <f>389.86/68.03*1000</f>
        <v>5730.7070410113183</v>
      </c>
      <c r="G209" s="22">
        <f>78.13/15*1000</f>
        <v>5208.666666666667</v>
      </c>
      <c r="H209" s="22">
        <f>479.79/88.46*1000</f>
        <v>5423.8073705629668</v>
      </c>
      <c r="I209" s="22">
        <f>G209*I199</f>
        <v>5362.7911133333337</v>
      </c>
      <c r="J209" s="22">
        <v>6340</v>
      </c>
      <c r="K209" s="22">
        <f>I209*K199</f>
        <v>5505.6129662636267</v>
      </c>
      <c r="L209" s="22">
        <v>6723.99</v>
      </c>
      <c r="M209" s="22">
        <v>6863.8</v>
      </c>
      <c r="N209" s="22"/>
      <c r="O209" s="22">
        <v>7860.65</v>
      </c>
      <c r="P209" s="22">
        <v>1.145232961333372</v>
      </c>
      <c r="Q209" s="22">
        <v>8969.0016500000002</v>
      </c>
      <c r="R209" s="22"/>
      <c r="S209" s="22">
        <v>10224.691469788826</v>
      </c>
      <c r="T209" s="22"/>
      <c r="U209" s="22">
        <v>11656.148275559261</v>
      </c>
      <c r="V209" s="22"/>
    </row>
    <row r="210" spans="2:22">
      <c r="B210" s="428" t="s">
        <v>206</v>
      </c>
      <c r="C210" s="439" t="s">
        <v>977</v>
      </c>
      <c r="D210" s="16" t="s">
        <v>22</v>
      </c>
      <c r="E210" s="17">
        <f t="shared" ref="E210:V210" si="47">E208*E209/1000</f>
        <v>94.26</v>
      </c>
      <c r="F210" s="17">
        <f t="shared" si="47"/>
        <v>389.86</v>
      </c>
      <c r="G210" s="17">
        <f t="shared" si="47"/>
        <v>78.13</v>
      </c>
      <c r="H210" s="17">
        <f t="shared" si="47"/>
        <v>479.79</v>
      </c>
      <c r="I210" s="17">
        <f t="shared" si="47"/>
        <v>80.441866700000006</v>
      </c>
      <c r="J210" s="17">
        <f t="shared" si="47"/>
        <v>451.53479999999996</v>
      </c>
      <c r="K210" s="17">
        <f t="shared" si="47"/>
        <v>82.584194493954399</v>
      </c>
      <c r="L210" s="17">
        <f t="shared" si="47"/>
        <v>549.41049891</v>
      </c>
      <c r="M210" s="17">
        <f t="shared" si="47"/>
        <v>557.752388</v>
      </c>
      <c r="N210" s="17">
        <f t="shared" si="47"/>
        <v>0</v>
      </c>
      <c r="O210" s="17">
        <f t="shared" si="47"/>
        <v>707.45849999999996</v>
      </c>
      <c r="P210" s="17">
        <f t="shared" si="47"/>
        <v>0</v>
      </c>
      <c r="Q210" s="17">
        <f t="shared" si="47"/>
        <v>789.27214520000007</v>
      </c>
      <c r="R210" s="17">
        <f t="shared" si="47"/>
        <v>0</v>
      </c>
      <c r="S210" s="17">
        <f t="shared" si="47"/>
        <v>899.77284934141676</v>
      </c>
      <c r="T210" s="17">
        <f t="shared" si="47"/>
        <v>0</v>
      </c>
      <c r="U210" s="17">
        <f>U208*U209/1000-0.01</f>
        <v>1025.7310482492148</v>
      </c>
      <c r="V210" s="17">
        <f t="shared" si="47"/>
        <v>0</v>
      </c>
    </row>
    <row r="211" spans="2:22">
      <c r="B211" s="340">
        <v>3</v>
      </c>
      <c r="C211" s="164" t="s">
        <v>978</v>
      </c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2:22">
      <c r="B212" s="334" t="s">
        <v>198</v>
      </c>
      <c r="C212" s="32" t="s">
        <v>971</v>
      </c>
      <c r="D212" s="16" t="s">
        <v>979</v>
      </c>
      <c r="E212" s="22">
        <v>2.25</v>
      </c>
      <c r="F212" s="22">
        <v>2.72</v>
      </c>
      <c r="G212" s="22">
        <v>2.2999999999999998</v>
      </c>
      <c r="H212" s="22">
        <v>2.1</v>
      </c>
      <c r="I212" s="22">
        <f>G212</f>
        <v>2.2999999999999998</v>
      </c>
      <c r="J212" s="22">
        <v>2.73</v>
      </c>
      <c r="K212" s="22">
        <f>I212</f>
        <v>2.2999999999999998</v>
      </c>
      <c r="L212" s="22">
        <v>4.9000000000000004</v>
      </c>
      <c r="M212" s="22">
        <v>70</v>
      </c>
      <c r="N212" s="22"/>
      <c r="O212" s="22">
        <f>M212</f>
        <v>70</v>
      </c>
      <c r="P212" s="22"/>
      <c r="Q212" s="22">
        <f>O212</f>
        <v>70</v>
      </c>
      <c r="R212" s="22"/>
      <c r="S212" s="22">
        <f>Q212</f>
        <v>70</v>
      </c>
      <c r="T212" s="22"/>
      <c r="U212" s="22">
        <f>S212</f>
        <v>70</v>
      </c>
      <c r="V212" s="22"/>
    </row>
    <row r="213" spans="2:22">
      <c r="B213" s="428" t="s">
        <v>202</v>
      </c>
      <c r="C213" s="32" t="s">
        <v>972</v>
      </c>
      <c r="D213" s="16" t="s">
        <v>973</v>
      </c>
      <c r="E213" s="22">
        <v>26770</v>
      </c>
      <c r="F213" s="22">
        <f>65.99/2.72*1000</f>
        <v>24261.029411764703</v>
      </c>
      <c r="G213" s="22">
        <f>57.85/2.3*1000</f>
        <v>25152.17391304348</v>
      </c>
      <c r="H213" s="22">
        <f>64.32/2.1*1000</f>
        <v>30628.571428571424</v>
      </c>
      <c r="I213" s="22">
        <f>G213*I199</f>
        <v>25896.426739130435</v>
      </c>
      <c r="J213" s="22">
        <v>35770</v>
      </c>
      <c r="K213" s="22">
        <f>I213*K199</f>
        <v>26586.100376046958</v>
      </c>
      <c r="L213" s="22">
        <f>182.8/4.9*1000</f>
        <v>37306.122448979593</v>
      </c>
      <c r="M213" s="22">
        <v>42528.3</v>
      </c>
      <c r="N213" s="22"/>
      <c r="O213" s="22">
        <f>M213*1.04</f>
        <v>44229.432000000008</v>
      </c>
      <c r="P213" s="22"/>
      <c r="Q213" s="22">
        <f>O213*1.04</f>
        <v>45998.609280000011</v>
      </c>
      <c r="R213" s="22"/>
      <c r="S213" s="22">
        <f>Q213*1.04</f>
        <v>47838.553651200011</v>
      </c>
      <c r="T213" s="22"/>
      <c r="U213" s="22">
        <f>S213*U199</f>
        <v>49752.399582316444</v>
      </c>
      <c r="V213" s="22"/>
    </row>
    <row r="214" spans="2:22">
      <c r="B214" s="428" t="s">
        <v>206</v>
      </c>
      <c r="C214" s="439" t="s">
        <v>980</v>
      </c>
      <c r="D214" s="16" t="s">
        <v>22</v>
      </c>
      <c r="E214" s="17">
        <f>E212*E213/1000+0.01</f>
        <v>60.2425</v>
      </c>
      <c r="F214" s="17">
        <f>F212*F213/1000+0.01</f>
        <v>66</v>
      </c>
      <c r="G214" s="17">
        <f t="shared" ref="G214:V214" si="48">G212*G213/1000</f>
        <v>57.85</v>
      </c>
      <c r="H214" s="17">
        <f t="shared" si="48"/>
        <v>64.319999999999993</v>
      </c>
      <c r="I214" s="17">
        <f t="shared" si="48"/>
        <v>59.561781499999995</v>
      </c>
      <c r="J214" s="17">
        <f t="shared" si="48"/>
        <v>97.652100000000004</v>
      </c>
      <c r="K214" s="17">
        <f t="shared" si="48"/>
        <v>61.148030864907994</v>
      </c>
      <c r="L214" s="17">
        <f t="shared" si="48"/>
        <v>182.80000000000004</v>
      </c>
      <c r="M214" s="17">
        <f>M212*M213/1000</f>
        <v>2976.9810000000002</v>
      </c>
      <c r="N214" s="17">
        <f t="shared" si="48"/>
        <v>0</v>
      </c>
      <c r="O214" s="17">
        <f>O212*O213/1000</f>
        <v>3096.0602400000007</v>
      </c>
      <c r="P214" s="17">
        <f t="shared" si="48"/>
        <v>0</v>
      </c>
      <c r="Q214" s="17">
        <f t="shared" si="48"/>
        <v>3219.9026496000006</v>
      </c>
      <c r="R214" s="17">
        <f t="shared" si="48"/>
        <v>0</v>
      </c>
      <c r="S214" s="17">
        <f t="shared" si="48"/>
        <v>3348.6987555840005</v>
      </c>
      <c r="T214" s="17">
        <f t="shared" si="48"/>
        <v>0</v>
      </c>
      <c r="U214" s="17">
        <f t="shared" si="48"/>
        <v>3482.6679707621511</v>
      </c>
      <c r="V214" s="17">
        <f t="shared" si="48"/>
        <v>0</v>
      </c>
    </row>
    <row r="215" spans="2:22" ht="25.5">
      <c r="B215" s="340"/>
      <c r="C215" s="295" t="s">
        <v>981</v>
      </c>
      <c r="D215" s="420" t="s">
        <v>22</v>
      </c>
      <c r="E215" s="297">
        <f>E206+E210+E214</f>
        <v>987.5324999999998</v>
      </c>
      <c r="F215" s="297">
        <f>F206+F210+F214</f>
        <v>1000.36</v>
      </c>
      <c r="G215" s="297">
        <f>G206+G210+G214</f>
        <v>1097.3599999999999</v>
      </c>
      <c r="H215" s="297">
        <f>H206+H210+H214</f>
        <v>1377.83</v>
      </c>
      <c r="I215" s="297">
        <f>I206+I210+I214+0.01</f>
        <v>1129.8408824000001</v>
      </c>
      <c r="J215" s="297">
        <f>J206+J210+J214</f>
        <v>1544.9920059999999</v>
      </c>
      <c r="K215" s="297">
        <f>K206+K210+K214+0.01</f>
        <v>1159.9305384600768</v>
      </c>
      <c r="L215" s="297">
        <f>L206+L210+L214+0.02</f>
        <v>1670.7846519100001</v>
      </c>
      <c r="M215" s="297">
        <f t="shared" ref="M215:V215" si="49">M206+M210+M214</f>
        <v>3826.9413880000002</v>
      </c>
      <c r="N215" s="297">
        <f t="shared" si="49"/>
        <v>0</v>
      </c>
      <c r="O215" s="297">
        <f t="shared" si="49"/>
        <v>4152.9587400000009</v>
      </c>
      <c r="P215" s="297">
        <f t="shared" si="49"/>
        <v>0</v>
      </c>
      <c r="Q215" s="297">
        <f t="shared" si="49"/>
        <v>4372.5947948000012</v>
      </c>
      <c r="R215" s="297">
        <f t="shared" si="49"/>
        <v>0</v>
      </c>
      <c r="S215" s="297">
        <f>S206+S210+S214</f>
        <v>4626.4216049254173</v>
      </c>
      <c r="T215" s="297">
        <f t="shared" si="49"/>
        <v>0</v>
      </c>
      <c r="U215" s="297">
        <f t="shared" si="49"/>
        <v>4901.4690190113661</v>
      </c>
      <c r="V215" s="297">
        <f t="shared" si="49"/>
        <v>0</v>
      </c>
    </row>
    <row r="217" spans="2:22">
      <c r="C217" t="s">
        <v>1390</v>
      </c>
      <c r="G217" s="1601" t="s">
        <v>982</v>
      </c>
      <c r="H217" s="1601"/>
      <c r="I217" s="1601"/>
      <c r="J217" s="1601"/>
      <c r="K217" s="1601"/>
      <c r="L217" s="1601"/>
      <c r="M217" s="118">
        <f>M214+M76</f>
        <v>14798.045884197683</v>
      </c>
      <c r="N217" s="118">
        <f t="shared" ref="N217:V217" si="50">N214+N76</f>
        <v>8759.9259366593997</v>
      </c>
      <c r="O217" s="118">
        <f t="shared" si="50"/>
        <v>15995.672624300203</v>
      </c>
      <c r="P217" s="118">
        <f t="shared" si="50"/>
        <v>9020.971729571851</v>
      </c>
      <c r="Q217" s="118">
        <f t="shared" si="50"/>
        <v>16377.507281586208</v>
      </c>
      <c r="R217" s="118">
        <f t="shared" si="50"/>
        <v>0</v>
      </c>
      <c r="S217" s="118">
        <f t="shared" si="50"/>
        <v>16769.45548020993</v>
      </c>
      <c r="T217" s="118">
        <f t="shared" si="50"/>
        <v>0</v>
      </c>
      <c r="U217" s="118">
        <f t="shared" si="50"/>
        <v>17171.839829880599</v>
      </c>
      <c r="V217" s="118">
        <f t="shared" si="50"/>
        <v>0</v>
      </c>
    </row>
    <row r="218" spans="2:22">
      <c r="G218" s="1601" t="s">
        <v>889</v>
      </c>
      <c r="H218" s="1601"/>
      <c r="I218" s="1601"/>
      <c r="J218" s="1601"/>
      <c r="K218" s="1601"/>
      <c r="L218" s="1601"/>
    </row>
    <row r="219" spans="2:22">
      <c r="G219" s="418" t="s">
        <v>890</v>
      </c>
      <c r="H219" s="418"/>
      <c r="I219" s="418"/>
      <c r="J219" s="418"/>
      <c r="K219" s="418"/>
      <c r="L219" s="418"/>
    </row>
    <row r="220" spans="2:22">
      <c r="G220" s="1601" t="s">
        <v>891</v>
      </c>
      <c r="H220" s="1601"/>
      <c r="I220" s="1601"/>
      <c r="J220" s="1601"/>
      <c r="K220" s="1601"/>
      <c r="L220" s="1601"/>
    </row>
    <row r="222" spans="2:22" ht="17.25" customHeight="1">
      <c r="B222" s="419" t="s">
        <v>983</v>
      </c>
      <c r="K222" s="1">
        <v>1.035585</v>
      </c>
      <c r="M222" s="1">
        <v>1.04</v>
      </c>
      <c r="O222" s="1">
        <v>1.04</v>
      </c>
      <c r="Q222" s="1">
        <v>1.04</v>
      </c>
      <c r="S222" s="1">
        <v>1.04</v>
      </c>
      <c r="U222" s="1">
        <v>1.04</v>
      </c>
    </row>
    <row r="223" spans="2:22" ht="24" customHeight="1">
      <c r="B223" s="1597" t="s">
        <v>539</v>
      </c>
      <c r="C223" s="1598" t="s">
        <v>540</v>
      </c>
      <c r="D223" s="1599" t="s">
        <v>541</v>
      </c>
      <c r="E223" s="1596" t="s">
        <v>4</v>
      </c>
      <c r="F223" s="1596"/>
      <c r="G223" s="1596" t="s">
        <v>5</v>
      </c>
      <c r="H223" s="1596"/>
      <c r="I223" s="1596" t="s">
        <v>6</v>
      </c>
      <c r="J223" s="1596"/>
      <c r="K223" s="1596" t="s">
        <v>7</v>
      </c>
      <c r="L223" s="1596"/>
      <c r="M223" s="1596" t="str">
        <f>M200</f>
        <v>Факт 2019 год</v>
      </c>
      <c r="N223" s="1596"/>
      <c r="O223" s="1596" t="s">
        <v>9</v>
      </c>
      <c r="P223" s="1596"/>
      <c r="Q223" s="1596" t="s">
        <v>10</v>
      </c>
      <c r="R223" s="1596"/>
      <c r="S223" s="1596" t="s">
        <v>11</v>
      </c>
      <c r="T223" s="1596"/>
      <c r="U223" s="1596" t="s">
        <v>12</v>
      </c>
      <c r="V223" s="1596"/>
    </row>
    <row r="224" spans="2:22" ht="37.35" customHeight="1">
      <c r="B224" s="1597"/>
      <c r="C224" s="1598"/>
      <c r="D224" s="1599"/>
      <c r="E224" s="149" t="s">
        <v>13</v>
      </c>
      <c r="F224" s="150" t="s">
        <v>14</v>
      </c>
      <c r="G224" s="149" t="s">
        <v>13</v>
      </c>
      <c r="H224" s="150" t="s">
        <v>14</v>
      </c>
      <c r="I224" s="149" t="s">
        <v>13</v>
      </c>
      <c r="J224" s="150" t="s">
        <v>14</v>
      </c>
      <c r="K224" s="149" t="s">
        <v>13</v>
      </c>
      <c r="L224" s="150" t="s">
        <v>15</v>
      </c>
      <c r="M224" s="149" t="s">
        <v>16</v>
      </c>
      <c r="N224" s="150" t="s">
        <v>17</v>
      </c>
      <c r="O224" s="149" t="s">
        <v>16</v>
      </c>
      <c r="P224" s="150" t="s">
        <v>17</v>
      </c>
      <c r="Q224" s="149" t="s">
        <v>16</v>
      </c>
      <c r="R224" s="150" t="s">
        <v>17</v>
      </c>
      <c r="S224" s="149" t="s">
        <v>16</v>
      </c>
      <c r="T224" s="150" t="s">
        <v>17</v>
      </c>
      <c r="U224" s="149" t="s">
        <v>16</v>
      </c>
      <c r="V224" s="150" t="s">
        <v>17</v>
      </c>
    </row>
    <row r="225" spans="2:22">
      <c r="B225" s="155">
        <v>1</v>
      </c>
      <c r="C225" s="155">
        <v>2</v>
      </c>
      <c r="D225" s="155">
        <v>3</v>
      </c>
      <c r="E225" s="155">
        <v>4</v>
      </c>
      <c r="F225" s="155">
        <v>5</v>
      </c>
      <c r="G225" s="155">
        <v>6</v>
      </c>
      <c r="H225" s="155">
        <v>7</v>
      </c>
      <c r="I225" s="155">
        <v>8</v>
      </c>
      <c r="J225" s="155">
        <v>9</v>
      </c>
      <c r="K225" s="155">
        <v>10</v>
      </c>
      <c r="L225" s="155">
        <v>11</v>
      </c>
      <c r="M225" s="155">
        <v>12</v>
      </c>
      <c r="N225" s="155">
        <v>13</v>
      </c>
      <c r="O225" s="155">
        <v>14</v>
      </c>
      <c r="P225" s="155">
        <v>15</v>
      </c>
      <c r="Q225" s="155">
        <v>16</v>
      </c>
      <c r="R225" s="155">
        <v>17</v>
      </c>
      <c r="S225" s="155">
        <v>18</v>
      </c>
      <c r="T225" s="155">
        <v>19</v>
      </c>
      <c r="U225" s="155">
        <v>20</v>
      </c>
      <c r="V225" s="155">
        <v>21</v>
      </c>
    </row>
    <row r="226" spans="2:22">
      <c r="B226" s="340"/>
      <c r="C226" s="164" t="s">
        <v>984</v>
      </c>
      <c r="D226" s="42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2:22">
      <c r="B227" s="340">
        <v>1</v>
      </c>
      <c r="C227" s="32" t="s">
        <v>985</v>
      </c>
      <c r="D227" s="16" t="s">
        <v>139</v>
      </c>
      <c r="E227" s="22">
        <v>783.29</v>
      </c>
      <c r="F227" s="22">
        <v>787.67</v>
      </c>
      <c r="G227" s="22">
        <v>759.82</v>
      </c>
      <c r="H227" s="22">
        <v>749.16</v>
      </c>
      <c r="I227" s="22">
        <v>755.09</v>
      </c>
      <c r="J227" s="22">
        <v>811.101</v>
      </c>
      <c r="K227" s="22">
        <f>I227</f>
        <v>755.09</v>
      </c>
      <c r="L227" s="22">
        <v>883.69100000000003</v>
      </c>
      <c r="M227" s="22">
        <v>912.2</v>
      </c>
      <c r="N227" s="22">
        <v>824.61500000000001</v>
      </c>
      <c r="O227" s="22">
        <v>912.42</v>
      </c>
      <c r="P227" s="22"/>
      <c r="Q227" s="22">
        <v>912.41499999999996</v>
      </c>
      <c r="R227" s="22"/>
      <c r="S227" s="22">
        <f>Q227</f>
        <v>912.41499999999996</v>
      </c>
      <c r="T227" s="22"/>
      <c r="U227" s="22">
        <f>S227</f>
        <v>912.41499999999996</v>
      </c>
      <c r="V227" s="22"/>
    </row>
    <row r="228" spans="2:22">
      <c r="B228" s="340">
        <v>2</v>
      </c>
      <c r="C228" s="32" t="s">
        <v>986</v>
      </c>
      <c r="D228" s="16" t="s">
        <v>136</v>
      </c>
      <c r="E228" s="22">
        <v>16.170000000000002</v>
      </c>
      <c r="F228" s="22">
        <v>16.170000000000002</v>
      </c>
      <c r="G228" s="22">
        <f>13258.79/759.82</f>
        <v>17.449909189018452</v>
      </c>
      <c r="H228" s="22">
        <v>18</v>
      </c>
      <c r="I228" s="22">
        <f>13901.13/755.09</f>
        <v>18.409898157835489</v>
      </c>
      <c r="J228" s="22">
        <v>18.41</v>
      </c>
      <c r="K228" s="22">
        <f>I228*K222</f>
        <v>19.065014383782064</v>
      </c>
      <c r="L228" s="22">
        <v>19.07</v>
      </c>
      <c r="M228" s="22">
        <v>19.82</v>
      </c>
      <c r="N228" s="22">
        <v>19.82</v>
      </c>
      <c r="O228" s="22">
        <v>20.350000000000001</v>
      </c>
      <c r="P228" s="22"/>
      <c r="Q228" s="22">
        <v>21.425999999999998</v>
      </c>
      <c r="R228" s="22"/>
      <c r="S228" s="22">
        <v>21.47</v>
      </c>
      <c r="T228" s="22"/>
      <c r="U228" s="22">
        <v>21.98</v>
      </c>
      <c r="V228" s="22"/>
    </row>
    <row r="229" spans="2:22">
      <c r="B229" s="340">
        <v>3</v>
      </c>
      <c r="C229" s="439" t="s">
        <v>987</v>
      </c>
      <c r="D229" s="16" t="s">
        <v>22</v>
      </c>
      <c r="E229" s="17">
        <f t="shared" ref="E229:V229" si="51">E227*E228</f>
        <v>12665.799300000001</v>
      </c>
      <c r="F229" s="17">
        <f t="shared" si="51"/>
        <v>12736.623900000001</v>
      </c>
      <c r="G229" s="17">
        <f t="shared" si="51"/>
        <v>13258.79</v>
      </c>
      <c r="H229" s="17">
        <f t="shared" si="51"/>
        <v>13484.88</v>
      </c>
      <c r="I229" s="17">
        <f t="shared" si="51"/>
        <v>13901.13</v>
      </c>
      <c r="J229" s="17">
        <f t="shared" si="51"/>
        <v>14932.369409999999</v>
      </c>
      <c r="K229" s="17">
        <f t="shared" si="51"/>
        <v>14395.801711049999</v>
      </c>
      <c r="L229" s="17">
        <f t="shared" si="51"/>
        <v>16851.987370000003</v>
      </c>
      <c r="M229" s="17">
        <f>M227*M228-0.2</f>
        <v>18079.603999999999</v>
      </c>
      <c r="N229" s="17">
        <f>N227*N228+0.12</f>
        <v>16343.989300000001</v>
      </c>
      <c r="O229" s="17">
        <f>O227*O228</f>
        <v>18567.746999999999</v>
      </c>
      <c r="P229" s="17">
        <f t="shared" si="51"/>
        <v>0</v>
      </c>
      <c r="Q229" s="17">
        <f>Q227*Q228+0.56</f>
        <v>19549.963789999998</v>
      </c>
      <c r="R229" s="17">
        <f t="shared" si="51"/>
        <v>0</v>
      </c>
      <c r="S229" s="17">
        <f t="shared" si="51"/>
        <v>19589.550049999998</v>
      </c>
      <c r="T229" s="17">
        <f t="shared" si="51"/>
        <v>0</v>
      </c>
      <c r="U229" s="17">
        <f t="shared" si="51"/>
        <v>20054.881699999998</v>
      </c>
      <c r="V229" s="17">
        <f t="shared" si="51"/>
        <v>0</v>
      </c>
    </row>
    <row r="230" spans="2:22">
      <c r="B230" s="340"/>
      <c r="C230" s="164" t="s">
        <v>140</v>
      </c>
      <c r="D230" s="16" t="s">
        <v>22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2:22">
      <c r="B231" s="340">
        <v>1</v>
      </c>
      <c r="C231" s="32" t="s">
        <v>985</v>
      </c>
      <c r="D231" s="16" t="s">
        <v>139</v>
      </c>
      <c r="E231" s="22">
        <v>29.93</v>
      </c>
      <c r="F231" s="22">
        <v>32.33</v>
      </c>
      <c r="G231" s="22">
        <v>33</v>
      </c>
      <c r="H231" s="22">
        <v>32.049999999999997</v>
      </c>
      <c r="I231" s="22">
        <v>33</v>
      </c>
      <c r="J231" s="22">
        <v>20.300999999999998</v>
      </c>
      <c r="K231" s="22">
        <f>I231</f>
        <v>33</v>
      </c>
      <c r="L231" s="22">
        <v>17.678999999999998</v>
      </c>
      <c r="M231" s="22">
        <v>19.09</v>
      </c>
      <c r="N231" s="22">
        <v>20.64</v>
      </c>
      <c r="O231" s="22">
        <v>20.64</v>
      </c>
      <c r="P231" s="22"/>
      <c r="Q231" s="22">
        <v>20.805</v>
      </c>
      <c r="R231" s="22"/>
      <c r="S231" s="22">
        <v>20.83</v>
      </c>
      <c r="T231" s="22"/>
      <c r="U231" s="22">
        <v>20.83</v>
      </c>
      <c r="V231" s="22"/>
    </row>
    <row r="232" spans="2:22">
      <c r="B232" s="340">
        <v>2</v>
      </c>
      <c r="C232" s="32" t="s">
        <v>986</v>
      </c>
      <c r="D232" s="16" t="s">
        <v>136</v>
      </c>
      <c r="E232" s="22">
        <v>22.98</v>
      </c>
      <c r="F232" s="22">
        <f>740.42/32.33</f>
        <v>22.901948654500465</v>
      </c>
      <c r="G232" s="22">
        <v>22.13</v>
      </c>
      <c r="H232" s="22">
        <v>22.55</v>
      </c>
      <c r="I232" s="22">
        <v>24.1</v>
      </c>
      <c r="J232" s="22">
        <v>24.21</v>
      </c>
      <c r="K232" s="22">
        <f>I232*K222</f>
        <v>24.9575985</v>
      </c>
      <c r="L232" s="22">
        <v>23.12</v>
      </c>
      <c r="M232" s="22">
        <v>21.25</v>
      </c>
      <c r="N232" s="22">
        <v>21.25</v>
      </c>
      <c r="O232" s="22">
        <v>21.66</v>
      </c>
      <c r="P232" s="22"/>
      <c r="Q232" s="22">
        <v>22.307500000000001</v>
      </c>
      <c r="R232" s="22"/>
      <c r="S232" s="22">
        <v>23.2</v>
      </c>
      <c r="T232" s="22"/>
      <c r="U232" s="22">
        <v>24.13</v>
      </c>
      <c r="V232" s="22"/>
    </row>
    <row r="233" spans="2:22">
      <c r="B233" s="340">
        <v>3</v>
      </c>
      <c r="C233" s="439" t="s">
        <v>987</v>
      </c>
      <c r="D233" s="16" t="s">
        <v>22</v>
      </c>
      <c r="E233" s="17">
        <f t="shared" ref="E233:V233" si="52">E231*E232</f>
        <v>687.79139999999995</v>
      </c>
      <c r="F233" s="17">
        <f t="shared" si="52"/>
        <v>740.42</v>
      </c>
      <c r="G233" s="17">
        <f t="shared" si="52"/>
        <v>730.29</v>
      </c>
      <c r="H233" s="17">
        <f t="shared" si="52"/>
        <v>722.72749999999996</v>
      </c>
      <c r="I233" s="17">
        <f t="shared" si="52"/>
        <v>795.30000000000007</v>
      </c>
      <c r="J233" s="17">
        <f t="shared" si="52"/>
        <v>491.48721</v>
      </c>
      <c r="K233" s="17">
        <f t="shared" si="52"/>
        <v>823.6007505</v>
      </c>
      <c r="L233" s="17">
        <f t="shared" si="52"/>
        <v>408.73847999999998</v>
      </c>
      <c r="M233" s="17">
        <f>M231*M232+0.02</f>
        <v>405.6825</v>
      </c>
      <c r="N233" s="17">
        <f t="shared" si="52"/>
        <v>438.6</v>
      </c>
      <c r="O233" s="17">
        <f t="shared" si="52"/>
        <v>447.06240000000003</v>
      </c>
      <c r="P233" s="17">
        <f t="shared" si="52"/>
        <v>0</v>
      </c>
      <c r="Q233" s="17">
        <f t="shared" si="52"/>
        <v>464.10753750000003</v>
      </c>
      <c r="R233" s="17">
        <f t="shared" si="52"/>
        <v>0</v>
      </c>
      <c r="S233" s="17">
        <f>S231*S232-0.09</f>
        <v>483.166</v>
      </c>
      <c r="T233" s="17">
        <f t="shared" si="52"/>
        <v>0</v>
      </c>
      <c r="U233" s="17">
        <f>U231*U232+0.01</f>
        <v>502.63789999999995</v>
      </c>
      <c r="V233" s="17">
        <f t="shared" si="52"/>
        <v>0</v>
      </c>
    </row>
    <row r="234" spans="2:22" ht="25.5">
      <c r="B234" s="441"/>
      <c r="C234" s="295" t="s">
        <v>988</v>
      </c>
      <c r="D234" s="420" t="s">
        <v>22</v>
      </c>
      <c r="E234" s="297">
        <f t="shared" ref="E234:L234" si="53">E229+E230+E233</f>
        <v>13353.590700000001</v>
      </c>
      <c r="F234" s="297">
        <f t="shared" si="53"/>
        <v>13477.043900000001</v>
      </c>
      <c r="G234" s="297">
        <f t="shared" si="53"/>
        <v>13989.080000000002</v>
      </c>
      <c r="H234" s="297">
        <f t="shared" si="53"/>
        <v>14207.607499999998</v>
      </c>
      <c r="I234" s="297">
        <f t="shared" si="53"/>
        <v>14696.429999999998</v>
      </c>
      <c r="J234" s="297">
        <f t="shared" si="53"/>
        <v>15423.856619999999</v>
      </c>
      <c r="K234" s="297">
        <f t="shared" si="53"/>
        <v>15219.402461549998</v>
      </c>
      <c r="L234" s="297">
        <f t="shared" si="53"/>
        <v>17260.725850000003</v>
      </c>
      <c r="M234" s="297">
        <f>M229+M230+M233</f>
        <v>18485.286499999998</v>
      </c>
      <c r="N234" s="297">
        <f t="shared" ref="N234:V234" si="54">N229+N230+N233</f>
        <v>16782.5893</v>
      </c>
      <c r="O234" s="297">
        <f t="shared" si="54"/>
        <v>19014.809399999998</v>
      </c>
      <c r="P234" s="297">
        <f t="shared" si="54"/>
        <v>0</v>
      </c>
      <c r="Q234" s="297">
        <f t="shared" si="54"/>
        <v>20014.071327499998</v>
      </c>
      <c r="R234" s="297">
        <f t="shared" si="54"/>
        <v>0</v>
      </c>
      <c r="S234" s="297">
        <f t="shared" si="54"/>
        <v>20072.716049999999</v>
      </c>
      <c r="T234" s="297">
        <f t="shared" si="54"/>
        <v>0</v>
      </c>
      <c r="U234" s="297">
        <f t="shared" si="54"/>
        <v>20557.5196</v>
      </c>
      <c r="V234" s="297">
        <f t="shared" si="54"/>
        <v>0</v>
      </c>
    </row>
    <row r="237" spans="2:22" s="332" customFormat="1" ht="20.45" customHeight="1">
      <c r="B237" s="419" t="s">
        <v>989</v>
      </c>
      <c r="C237" s="442"/>
      <c r="D237" s="442"/>
      <c r="E237" s="442"/>
      <c r="F237" s="442"/>
      <c r="G237" s="442"/>
      <c r="H237" s="442"/>
      <c r="I237" s="442"/>
      <c r="J237" s="442"/>
      <c r="K237" s="442"/>
      <c r="L237" s="442"/>
      <c r="M237" s="443"/>
      <c r="N237" s="443"/>
      <c r="O237" s="443"/>
      <c r="P237" s="443"/>
      <c r="Q237" s="443"/>
      <c r="R237" s="443"/>
      <c r="S237" s="443"/>
      <c r="T237" s="443"/>
      <c r="U237" s="443"/>
      <c r="V237" s="443"/>
    </row>
    <row r="238" spans="2:22" s="332" customFormat="1" ht="15" customHeight="1">
      <c r="B238" s="1597" t="s">
        <v>539</v>
      </c>
      <c r="C238" s="1598" t="s">
        <v>540</v>
      </c>
      <c r="D238" s="1599" t="s">
        <v>541</v>
      </c>
      <c r="E238" s="1596" t="s">
        <v>4</v>
      </c>
      <c r="F238" s="1596"/>
      <c r="G238" s="1596" t="s">
        <v>5</v>
      </c>
      <c r="H238" s="1596"/>
      <c r="I238" s="1596" t="s">
        <v>6</v>
      </c>
      <c r="J238" s="1596"/>
      <c r="K238" s="1596" t="s">
        <v>7</v>
      </c>
      <c r="L238" s="1596"/>
      <c r="M238" s="1596" t="str">
        <f>M223</f>
        <v>Факт 2019 год</v>
      </c>
      <c r="N238" s="1596"/>
      <c r="O238" s="1596" t="s">
        <v>9</v>
      </c>
      <c r="P238" s="1596"/>
      <c r="Q238" s="1596" t="s">
        <v>10</v>
      </c>
      <c r="R238" s="1596"/>
      <c r="S238" s="1596" t="s">
        <v>11</v>
      </c>
      <c r="T238" s="1596"/>
      <c r="U238" s="1596" t="s">
        <v>12</v>
      </c>
      <c r="V238" s="1596"/>
    </row>
    <row r="239" spans="2:22" s="332" customFormat="1" ht="37.35" customHeight="1">
      <c r="B239" s="1597"/>
      <c r="C239" s="1598"/>
      <c r="D239" s="1599"/>
      <c r="E239" s="149" t="s">
        <v>13</v>
      </c>
      <c r="F239" s="150" t="s">
        <v>14</v>
      </c>
      <c r="G239" s="149" t="s">
        <v>13</v>
      </c>
      <c r="H239" s="150" t="s">
        <v>14</v>
      </c>
      <c r="I239" s="149" t="s">
        <v>13</v>
      </c>
      <c r="J239" s="150" t="s">
        <v>14</v>
      </c>
      <c r="K239" s="149" t="s">
        <v>13</v>
      </c>
      <c r="L239" s="150" t="s">
        <v>15</v>
      </c>
      <c r="M239" s="149" t="s">
        <v>16</v>
      </c>
      <c r="N239" s="150" t="s">
        <v>17</v>
      </c>
      <c r="O239" s="149" t="s">
        <v>16</v>
      </c>
      <c r="P239" s="150" t="s">
        <v>17</v>
      </c>
      <c r="Q239" s="149" t="s">
        <v>16</v>
      </c>
      <c r="R239" s="150" t="s">
        <v>17</v>
      </c>
      <c r="S239" s="149" t="s">
        <v>16</v>
      </c>
      <c r="T239" s="150" t="s">
        <v>17</v>
      </c>
      <c r="U239" s="149" t="s">
        <v>16</v>
      </c>
      <c r="V239" s="150" t="s">
        <v>17</v>
      </c>
    </row>
    <row r="240" spans="2:22" s="332" customFormat="1">
      <c r="B240" s="155">
        <v>1</v>
      </c>
      <c r="C240" s="155">
        <v>2</v>
      </c>
      <c r="D240" s="155">
        <v>3</v>
      </c>
      <c r="E240" s="155">
        <v>4</v>
      </c>
      <c r="F240" s="155">
        <v>5</v>
      </c>
      <c r="G240" s="155">
        <v>6</v>
      </c>
      <c r="H240" s="155">
        <v>7</v>
      </c>
      <c r="I240" s="155">
        <v>8</v>
      </c>
      <c r="J240" s="155">
        <v>9</v>
      </c>
      <c r="K240" s="155">
        <v>10</v>
      </c>
      <c r="L240" s="155">
        <v>11</v>
      </c>
      <c r="M240" s="155">
        <v>12</v>
      </c>
      <c r="N240" s="155">
        <v>13</v>
      </c>
      <c r="O240" s="155">
        <v>14</v>
      </c>
      <c r="P240" s="155">
        <v>15</v>
      </c>
      <c r="Q240" s="155">
        <v>16</v>
      </c>
      <c r="R240" s="155">
        <v>17</v>
      </c>
      <c r="S240" s="155">
        <v>18</v>
      </c>
      <c r="T240" s="155">
        <v>19</v>
      </c>
      <c r="U240" s="155">
        <v>20</v>
      </c>
      <c r="V240" s="155">
        <v>21</v>
      </c>
    </row>
    <row r="241" spans="2:22" s="332" customFormat="1">
      <c r="B241" s="416"/>
      <c r="C241" s="164" t="s">
        <v>990</v>
      </c>
      <c r="D241" s="155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</row>
    <row r="242" spans="2:22" s="332" customFormat="1">
      <c r="B242" s="444">
        <v>1</v>
      </c>
      <c r="C242" s="32" t="s">
        <v>991</v>
      </c>
      <c r="D242" s="16" t="s">
        <v>139</v>
      </c>
      <c r="E242" s="422">
        <v>2106.6799999999998</v>
      </c>
      <c r="F242" s="422"/>
      <c r="G242" s="422">
        <v>2005.5</v>
      </c>
      <c r="H242" s="422"/>
      <c r="I242" s="422">
        <v>2005.5</v>
      </c>
      <c r="J242" s="422"/>
      <c r="K242" s="422">
        <v>0</v>
      </c>
      <c r="L242" s="422"/>
      <c r="M242" s="422">
        <v>0</v>
      </c>
      <c r="N242" s="422"/>
      <c r="O242" s="422">
        <v>0</v>
      </c>
      <c r="P242" s="422"/>
      <c r="Q242" s="422">
        <v>0</v>
      </c>
      <c r="R242" s="422"/>
      <c r="S242" s="422">
        <v>0</v>
      </c>
      <c r="T242" s="422"/>
      <c r="U242" s="422">
        <v>0</v>
      </c>
      <c r="V242" s="422"/>
    </row>
    <row r="243" spans="2:22" s="332" customFormat="1" ht="21">
      <c r="B243" s="445" t="s">
        <v>24</v>
      </c>
      <c r="C243" s="32" t="s">
        <v>992</v>
      </c>
      <c r="D243" s="16" t="s">
        <v>136</v>
      </c>
      <c r="E243" s="422">
        <v>4</v>
      </c>
      <c r="F243" s="422"/>
      <c r="G243" s="422">
        <v>3.75</v>
      </c>
      <c r="H243" s="422">
        <v>0</v>
      </c>
      <c r="I243" s="422">
        <v>3.84</v>
      </c>
      <c r="J243" s="422"/>
      <c r="K243" s="422">
        <v>0</v>
      </c>
      <c r="L243" s="422"/>
      <c r="M243" s="422">
        <v>0</v>
      </c>
      <c r="N243" s="422"/>
      <c r="O243" s="422">
        <v>0</v>
      </c>
      <c r="P243" s="422"/>
      <c r="Q243" s="422">
        <v>0</v>
      </c>
      <c r="R243" s="422"/>
      <c r="S243" s="422">
        <v>0</v>
      </c>
      <c r="T243" s="422"/>
      <c r="U243" s="422">
        <v>0</v>
      </c>
      <c r="V243" s="422"/>
    </row>
    <row r="244" spans="2:22" s="332" customFormat="1" ht="21">
      <c r="B244" s="445" t="s">
        <v>37</v>
      </c>
      <c r="C244" s="15" t="s">
        <v>993</v>
      </c>
      <c r="D244" s="16" t="s">
        <v>22</v>
      </c>
      <c r="E244" s="286">
        <f t="shared" ref="E244:V244" si="55">E242*E243</f>
        <v>8426.7199999999993</v>
      </c>
      <c r="F244" s="286">
        <f t="shared" si="55"/>
        <v>0</v>
      </c>
      <c r="G244" s="286">
        <f t="shared" si="55"/>
        <v>7520.625</v>
      </c>
      <c r="H244" s="286">
        <f t="shared" si="55"/>
        <v>0</v>
      </c>
      <c r="I244" s="286">
        <f t="shared" si="55"/>
        <v>7701.12</v>
      </c>
      <c r="J244" s="286">
        <f t="shared" si="55"/>
        <v>0</v>
      </c>
      <c r="K244" s="286">
        <f t="shared" si="55"/>
        <v>0</v>
      </c>
      <c r="L244" s="286">
        <f t="shared" si="55"/>
        <v>0</v>
      </c>
      <c r="M244" s="286">
        <f t="shared" si="55"/>
        <v>0</v>
      </c>
      <c r="N244" s="286">
        <f t="shared" si="55"/>
        <v>0</v>
      </c>
      <c r="O244" s="286">
        <f t="shared" si="55"/>
        <v>0</v>
      </c>
      <c r="P244" s="286">
        <f t="shared" si="55"/>
        <v>0</v>
      </c>
      <c r="Q244" s="286">
        <f t="shared" si="55"/>
        <v>0</v>
      </c>
      <c r="R244" s="286">
        <f t="shared" si="55"/>
        <v>0</v>
      </c>
      <c r="S244" s="286">
        <f t="shared" si="55"/>
        <v>0</v>
      </c>
      <c r="T244" s="286">
        <f t="shared" si="55"/>
        <v>0</v>
      </c>
      <c r="U244" s="286">
        <f t="shared" si="55"/>
        <v>0</v>
      </c>
      <c r="V244" s="286">
        <f t="shared" si="55"/>
        <v>0</v>
      </c>
    </row>
    <row r="245" spans="2:22" s="332" customFormat="1" hidden="1">
      <c r="B245" s="445"/>
      <c r="C245" s="164" t="s">
        <v>966</v>
      </c>
      <c r="D245" s="1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</row>
    <row r="246" spans="2:22" s="332" customFormat="1" hidden="1">
      <c r="B246" s="445"/>
      <c r="C246" s="164" t="s">
        <v>967</v>
      </c>
      <c r="D246" s="1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</row>
    <row r="247" spans="2:22" s="332" customFormat="1" ht="31.5">
      <c r="B247" s="446"/>
      <c r="C247" s="15" t="s">
        <v>994</v>
      </c>
      <c r="D247" s="16" t="s">
        <v>22</v>
      </c>
      <c r="E247" s="181">
        <f t="shared" ref="E247:V247" si="56">E244+E245+E246</f>
        <v>8426.7199999999993</v>
      </c>
      <c r="F247" s="181">
        <f t="shared" si="56"/>
        <v>0</v>
      </c>
      <c r="G247" s="181">
        <f t="shared" si="56"/>
        <v>7520.625</v>
      </c>
      <c r="H247" s="181">
        <f t="shared" si="56"/>
        <v>0</v>
      </c>
      <c r="I247" s="181">
        <f t="shared" si="56"/>
        <v>7701.12</v>
      </c>
      <c r="J247" s="181">
        <f t="shared" si="56"/>
        <v>0</v>
      </c>
      <c r="K247" s="181">
        <f t="shared" si="56"/>
        <v>0</v>
      </c>
      <c r="L247" s="181">
        <f t="shared" si="56"/>
        <v>0</v>
      </c>
      <c r="M247" s="181">
        <f t="shared" si="56"/>
        <v>0</v>
      </c>
      <c r="N247" s="181">
        <f t="shared" si="56"/>
        <v>0</v>
      </c>
      <c r="O247" s="181">
        <f t="shared" si="56"/>
        <v>0</v>
      </c>
      <c r="P247" s="181">
        <f t="shared" si="56"/>
        <v>0</v>
      </c>
      <c r="Q247" s="181">
        <f t="shared" si="56"/>
        <v>0</v>
      </c>
      <c r="R247" s="181">
        <f t="shared" si="56"/>
        <v>0</v>
      </c>
      <c r="S247" s="181">
        <f t="shared" si="56"/>
        <v>0</v>
      </c>
      <c r="T247" s="181">
        <f t="shared" si="56"/>
        <v>0</v>
      </c>
      <c r="U247" s="181">
        <f t="shared" si="56"/>
        <v>0</v>
      </c>
      <c r="V247" s="181">
        <f t="shared" si="56"/>
        <v>0</v>
      </c>
    </row>
    <row r="248" spans="2:22" s="332" customFormat="1">
      <c r="B248" s="446"/>
      <c r="C248" s="164" t="s">
        <v>962</v>
      </c>
      <c r="D248" s="1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</row>
    <row r="249" spans="2:22" s="332" customFormat="1">
      <c r="B249" s="444">
        <v>2</v>
      </c>
      <c r="C249" s="32" t="s">
        <v>995</v>
      </c>
      <c r="D249" s="16" t="s">
        <v>139</v>
      </c>
      <c r="E249" s="422"/>
      <c r="F249" s="422"/>
      <c r="G249" s="422"/>
      <c r="H249" s="422"/>
      <c r="I249" s="422"/>
      <c r="J249" s="422"/>
      <c r="K249" s="422"/>
      <c r="L249" s="422"/>
      <c r="M249" s="422"/>
      <c r="N249" s="422"/>
      <c r="O249" s="422"/>
      <c r="P249" s="422"/>
      <c r="Q249" s="422"/>
      <c r="R249" s="422"/>
      <c r="S249" s="422"/>
      <c r="T249" s="422"/>
      <c r="U249" s="422"/>
      <c r="V249" s="422"/>
    </row>
    <row r="250" spans="2:22" s="332" customFormat="1">
      <c r="B250" s="445" t="s">
        <v>198</v>
      </c>
      <c r="C250" s="32" t="s">
        <v>996</v>
      </c>
      <c r="D250" s="16" t="s">
        <v>136</v>
      </c>
      <c r="E250" s="422"/>
      <c r="F250" s="422"/>
      <c r="G250" s="422"/>
      <c r="H250" s="422"/>
      <c r="I250" s="422"/>
      <c r="J250" s="422"/>
      <c r="K250" s="422"/>
      <c r="L250" s="422"/>
      <c r="M250" s="422"/>
      <c r="N250" s="422"/>
      <c r="O250" s="422"/>
      <c r="P250" s="422"/>
      <c r="Q250" s="422"/>
      <c r="R250" s="422"/>
      <c r="S250" s="422"/>
      <c r="T250" s="422"/>
      <c r="U250" s="422"/>
      <c r="V250" s="422"/>
    </row>
    <row r="251" spans="2:22" s="332" customFormat="1" ht="21">
      <c r="B251" s="445" t="s">
        <v>202</v>
      </c>
      <c r="C251" s="15" t="s">
        <v>997</v>
      </c>
      <c r="D251" s="16" t="s">
        <v>22</v>
      </c>
      <c r="E251" s="286">
        <f t="shared" ref="E251:V251" si="57">E249*E250/1000</f>
        <v>0</v>
      </c>
      <c r="F251" s="286">
        <f t="shared" si="57"/>
        <v>0</v>
      </c>
      <c r="G251" s="286">
        <f t="shared" si="57"/>
        <v>0</v>
      </c>
      <c r="H251" s="286">
        <f t="shared" si="57"/>
        <v>0</v>
      </c>
      <c r="I251" s="286">
        <f t="shared" si="57"/>
        <v>0</v>
      </c>
      <c r="J251" s="286">
        <f t="shared" si="57"/>
        <v>0</v>
      </c>
      <c r="K251" s="286">
        <f t="shared" si="57"/>
        <v>0</v>
      </c>
      <c r="L251" s="286">
        <f t="shared" si="57"/>
        <v>0</v>
      </c>
      <c r="M251" s="286">
        <f t="shared" si="57"/>
        <v>0</v>
      </c>
      <c r="N251" s="286">
        <f t="shared" si="57"/>
        <v>0</v>
      </c>
      <c r="O251" s="286">
        <f t="shared" si="57"/>
        <v>0</v>
      </c>
      <c r="P251" s="286">
        <f t="shared" si="57"/>
        <v>0</v>
      </c>
      <c r="Q251" s="286">
        <f t="shared" si="57"/>
        <v>0</v>
      </c>
      <c r="R251" s="286">
        <f t="shared" si="57"/>
        <v>0</v>
      </c>
      <c r="S251" s="286">
        <f t="shared" si="57"/>
        <v>0</v>
      </c>
      <c r="T251" s="286">
        <f t="shared" si="57"/>
        <v>0</v>
      </c>
      <c r="U251" s="286">
        <f t="shared" si="57"/>
        <v>0</v>
      </c>
      <c r="V251" s="286">
        <f t="shared" si="57"/>
        <v>0</v>
      </c>
    </row>
    <row r="252" spans="2:22" s="332" customFormat="1">
      <c r="B252" s="445"/>
      <c r="C252" s="164" t="s">
        <v>966</v>
      </c>
      <c r="D252" s="1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</row>
    <row r="253" spans="2:22" s="332" customFormat="1">
      <c r="B253" s="445"/>
      <c r="C253" s="164" t="s">
        <v>967</v>
      </c>
      <c r="D253" s="1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</row>
    <row r="254" spans="2:22" s="332" customFormat="1" ht="21">
      <c r="B254" s="445"/>
      <c r="C254" s="15" t="s">
        <v>998</v>
      </c>
      <c r="D254" s="16" t="s">
        <v>22</v>
      </c>
      <c r="E254" s="181">
        <f t="shared" ref="E254:V254" si="58">E251+E252+E253</f>
        <v>0</v>
      </c>
      <c r="F254" s="181">
        <f t="shared" si="58"/>
        <v>0</v>
      </c>
      <c r="G254" s="181">
        <f t="shared" si="58"/>
        <v>0</v>
      </c>
      <c r="H254" s="181">
        <f t="shared" si="58"/>
        <v>0</v>
      </c>
      <c r="I254" s="181">
        <f t="shared" si="58"/>
        <v>0</v>
      </c>
      <c r="J254" s="181">
        <f t="shared" si="58"/>
        <v>0</v>
      </c>
      <c r="K254" s="181">
        <f t="shared" si="58"/>
        <v>0</v>
      </c>
      <c r="L254" s="181">
        <f t="shared" si="58"/>
        <v>0</v>
      </c>
      <c r="M254" s="181">
        <f t="shared" si="58"/>
        <v>0</v>
      </c>
      <c r="N254" s="181">
        <f t="shared" si="58"/>
        <v>0</v>
      </c>
      <c r="O254" s="181">
        <f t="shared" si="58"/>
        <v>0</v>
      </c>
      <c r="P254" s="181">
        <f t="shared" si="58"/>
        <v>0</v>
      </c>
      <c r="Q254" s="181">
        <f t="shared" si="58"/>
        <v>0</v>
      </c>
      <c r="R254" s="181">
        <f t="shared" si="58"/>
        <v>0</v>
      </c>
      <c r="S254" s="181">
        <f t="shared" si="58"/>
        <v>0</v>
      </c>
      <c r="T254" s="181">
        <f t="shared" si="58"/>
        <v>0</v>
      </c>
      <c r="U254" s="181">
        <f t="shared" si="58"/>
        <v>0</v>
      </c>
      <c r="V254" s="181">
        <f t="shared" si="58"/>
        <v>0</v>
      </c>
    </row>
    <row r="255" spans="2:22" s="332" customFormat="1" ht="25.5">
      <c r="B255" s="444"/>
      <c r="C255" s="295" t="s">
        <v>988</v>
      </c>
      <c r="D255" s="416" t="s">
        <v>22</v>
      </c>
      <c r="E255" s="297">
        <f t="shared" ref="E255:V255" si="59">E247+E254</f>
        <v>8426.7199999999993</v>
      </c>
      <c r="F255" s="297">
        <f t="shared" si="59"/>
        <v>0</v>
      </c>
      <c r="G255" s="297">
        <f t="shared" si="59"/>
        <v>7520.625</v>
      </c>
      <c r="H255" s="297">
        <f t="shared" si="59"/>
        <v>0</v>
      </c>
      <c r="I255" s="297">
        <f t="shared" si="59"/>
        <v>7701.12</v>
      </c>
      <c r="J255" s="297">
        <f t="shared" si="59"/>
        <v>0</v>
      </c>
      <c r="K255" s="297">
        <f t="shared" si="59"/>
        <v>0</v>
      </c>
      <c r="L255" s="297">
        <f t="shared" si="59"/>
        <v>0</v>
      </c>
      <c r="M255" s="297">
        <f t="shared" si="59"/>
        <v>0</v>
      </c>
      <c r="N255" s="297">
        <f t="shared" si="59"/>
        <v>0</v>
      </c>
      <c r="O255" s="297">
        <f t="shared" si="59"/>
        <v>0</v>
      </c>
      <c r="P255" s="297">
        <f t="shared" si="59"/>
        <v>0</v>
      </c>
      <c r="Q255" s="297">
        <f t="shared" si="59"/>
        <v>0</v>
      </c>
      <c r="R255" s="297">
        <f t="shared" si="59"/>
        <v>0</v>
      </c>
      <c r="S255" s="297">
        <f t="shared" si="59"/>
        <v>0</v>
      </c>
      <c r="T255" s="297">
        <f t="shared" si="59"/>
        <v>0</v>
      </c>
      <c r="U255" s="297">
        <f t="shared" si="59"/>
        <v>0</v>
      </c>
      <c r="V255" s="297">
        <f t="shared" si="59"/>
        <v>0</v>
      </c>
    </row>
    <row r="257" spans="2:22" ht="15.75">
      <c r="B257" s="419" t="s">
        <v>999</v>
      </c>
      <c r="C257" s="419"/>
      <c r="D257" s="419"/>
      <c r="E257" s="419"/>
      <c r="F257" s="419"/>
      <c r="G257" s="419"/>
      <c r="H257" s="419"/>
      <c r="I257" s="419"/>
      <c r="J257" s="419"/>
      <c r="K257" s="419"/>
      <c r="L257" s="419"/>
      <c r="M257" s="447"/>
      <c r="N257" s="447"/>
      <c r="O257" s="447"/>
    </row>
    <row r="259" spans="2:22" ht="15.75">
      <c r="B259" s="419" t="s">
        <v>1000</v>
      </c>
      <c r="C259" s="448"/>
      <c r="D259" s="449"/>
    </row>
    <row r="260" spans="2:22" s="332" customFormat="1" ht="29.25" customHeight="1">
      <c r="B260" s="1597" t="s">
        <v>539</v>
      </c>
      <c r="C260" s="1598" t="s">
        <v>540</v>
      </c>
      <c r="D260" s="1599" t="s">
        <v>541</v>
      </c>
      <c r="E260" s="1596" t="s">
        <v>4</v>
      </c>
      <c r="F260" s="1596"/>
      <c r="G260" s="1596" t="s">
        <v>5</v>
      </c>
      <c r="H260" s="1596"/>
      <c r="I260" s="1596" t="s">
        <v>6</v>
      </c>
      <c r="J260" s="1596"/>
      <c r="K260" s="1596" t="s">
        <v>7</v>
      </c>
      <c r="L260" s="1596"/>
      <c r="M260" s="1596" t="str">
        <f>M238</f>
        <v>Факт 2019 год</v>
      </c>
      <c r="N260" s="1596"/>
      <c r="O260" s="1596" t="s">
        <v>9</v>
      </c>
      <c r="P260" s="1596"/>
      <c r="Q260" s="1596" t="s">
        <v>10</v>
      </c>
      <c r="R260" s="1596"/>
      <c r="S260" s="1596" t="s">
        <v>11</v>
      </c>
      <c r="T260" s="1596"/>
      <c r="U260" s="1596" t="s">
        <v>12</v>
      </c>
      <c r="V260" s="1596"/>
    </row>
    <row r="261" spans="2:22" s="332" customFormat="1" ht="42.75" customHeight="1">
      <c r="B261" s="1597"/>
      <c r="C261" s="1598"/>
      <c r="D261" s="1599"/>
      <c r="E261" s="149" t="s">
        <v>13</v>
      </c>
      <c r="F261" s="150" t="s">
        <v>14</v>
      </c>
      <c r="G261" s="149" t="s">
        <v>13</v>
      </c>
      <c r="H261" s="150" t="s">
        <v>14</v>
      </c>
      <c r="I261" s="149" t="s">
        <v>13</v>
      </c>
      <c r="J261" s="150" t="s">
        <v>14</v>
      </c>
      <c r="K261" s="149" t="s">
        <v>13</v>
      </c>
      <c r="L261" s="150" t="s">
        <v>15</v>
      </c>
      <c r="M261" s="149" t="s">
        <v>16</v>
      </c>
      <c r="N261" s="150" t="s">
        <v>17</v>
      </c>
      <c r="O261" s="149" t="s">
        <v>16</v>
      </c>
      <c r="P261" s="150" t="s">
        <v>17</v>
      </c>
      <c r="Q261" s="149" t="s">
        <v>16</v>
      </c>
      <c r="R261" s="150" t="s">
        <v>17</v>
      </c>
      <c r="S261" s="149" t="s">
        <v>16</v>
      </c>
      <c r="T261" s="150" t="s">
        <v>17</v>
      </c>
      <c r="U261" s="149" t="s">
        <v>16</v>
      </c>
      <c r="V261" s="150" t="s">
        <v>17</v>
      </c>
    </row>
    <row r="262" spans="2:22" s="332" customFormat="1">
      <c r="B262" s="155">
        <v>1</v>
      </c>
      <c r="C262" s="155">
        <v>2</v>
      </c>
      <c r="D262" s="155">
        <v>3</v>
      </c>
      <c r="E262" s="155">
        <v>4</v>
      </c>
      <c r="F262" s="155">
        <v>5</v>
      </c>
      <c r="G262" s="155">
        <v>6</v>
      </c>
      <c r="H262" s="155">
        <v>7</v>
      </c>
      <c r="I262" s="155">
        <v>8</v>
      </c>
      <c r="J262" s="155">
        <v>9</v>
      </c>
      <c r="K262" s="155">
        <v>10</v>
      </c>
      <c r="L262" s="155">
        <v>11</v>
      </c>
      <c r="M262" s="155">
        <v>12</v>
      </c>
      <c r="N262" s="155">
        <v>13</v>
      </c>
      <c r="O262" s="155">
        <v>14</v>
      </c>
      <c r="P262" s="155">
        <v>15</v>
      </c>
      <c r="Q262" s="155">
        <v>16</v>
      </c>
      <c r="R262" s="155">
        <v>17</v>
      </c>
      <c r="S262" s="155">
        <v>18</v>
      </c>
      <c r="T262" s="155">
        <v>19</v>
      </c>
      <c r="U262" s="155">
        <v>20</v>
      </c>
      <c r="V262" s="155">
        <v>21</v>
      </c>
    </row>
    <row r="263" spans="2:22" ht="27.75" customHeight="1">
      <c r="B263" s="340">
        <v>1</v>
      </c>
      <c r="C263" s="282" t="s">
        <v>1402</v>
      </c>
      <c r="D263" s="16" t="s">
        <v>22</v>
      </c>
      <c r="E263" s="167">
        <v>3034.93</v>
      </c>
      <c r="F263" s="167">
        <v>8739.4</v>
      </c>
      <c r="G263" s="167">
        <v>7369.35</v>
      </c>
      <c r="H263" s="167">
        <v>2048.9499999999998</v>
      </c>
      <c r="I263" s="167"/>
      <c r="J263" s="167"/>
      <c r="K263" s="167"/>
      <c r="L263" s="167">
        <f>481.89*0.481</f>
        <v>231.78908999999999</v>
      </c>
      <c r="M263" s="167">
        <f>4096.677*1.0761</f>
        <v>4408.4341197000003</v>
      </c>
      <c r="N263" s="167"/>
      <c r="O263" s="167">
        <f>9872*0.481*1.0886+0.14</f>
        <v>5169.2830752</v>
      </c>
      <c r="P263" s="167"/>
      <c r="Q263" s="167">
        <f>9872*0.4805*1.2332688</f>
        <v>5850.0056197248005</v>
      </c>
      <c r="R263" s="167"/>
      <c r="S263" s="167">
        <f>9845*0.481*1.4115</f>
        <v>6684.0806174999998</v>
      </c>
      <c r="T263" s="167"/>
      <c r="U263" s="167">
        <f>9845*0.4814*1.11698+0.02</f>
        <v>5293.8160233400004</v>
      </c>
      <c r="V263" s="167"/>
    </row>
    <row r="264" spans="2:22" ht="24" customHeight="1">
      <c r="B264" s="340">
        <v>2</v>
      </c>
      <c r="C264" s="282" t="s">
        <v>1281</v>
      </c>
      <c r="D264" s="16" t="s">
        <v>22</v>
      </c>
      <c r="E264" s="167">
        <v>1176.4100000000001</v>
      </c>
      <c r="F264" s="167">
        <v>590.41999999999996</v>
      </c>
      <c r="G264" s="167"/>
      <c r="H264" s="167"/>
      <c r="I264" s="167"/>
      <c r="J264" s="167"/>
      <c r="K264" s="167"/>
      <c r="L264" s="167">
        <f>6885.8*0.481</f>
        <v>3312.0697999999998</v>
      </c>
      <c r="M264" s="167">
        <f>17511.767*1.076057</f>
        <v>18843.659462718999</v>
      </c>
      <c r="N264" s="167"/>
      <c r="O264" s="167">
        <f>29806*0.481*1.089</f>
        <v>15612.651054</v>
      </c>
      <c r="P264" s="167"/>
      <c r="Q264" s="167">
        <f>22295*0.480648*1.233268817</f>
        <v>13215.766803929409</v>
      </c>
      <c r="R264" s="167"/>
      <c r="S264" s="167">
        <f>14875*0.481*1.41151-0.13</f>
        <v>10099.047611250002</v>
      </c>
      <c r="T264" s="167"/>
      <c r="U264" s="167">
        <f>7445*0.4811*1.116987</f>
        <v>4000.8123082365</v>
      </c>
      <c r="V264" s="167"/>
    </row>
    <row r="265" spans="2:22" ht="24.75">
      <c r="B265" s="340">
        <v>3</v>
      </c>
      <c r="C265" s="282" t="s">
        <v>1282</v>
      </c>
      <c r="D265" s="16" t="s">
        <v>22</v>
      </c>
      <c r="E265" s="167">
        <v>11059.2</v>
      </c>
      <c r="F265" s="167">
        <v>7010.14</v>
      </c>
      <c r="G265" s="167">
        <v>13544.56</v>
      </c>
      <c r="H265" s="167">
        <v>2889.29</v>
      </c>
      <c r="I265" s="167">
        <v>12784.68</v>
      </c>
      <c r="J265" s="167"/>
      <c r="K265" s="167"/>
      <c r="L265" s="167">
        <f>1532.61*0.481+99.43</f>
        <v>836.61540999999988</v>
      </c>
      <c r="M265" s="167">
        <f>3266.952*1.07617</f>
        <v>3515.7957338400006</v>
      </c>
      <c r="N265" s="167"/>
      <c r="O265" s="167">
        <f>6810*0.481*1.0889</f>
        <v>3566.8117289999996</v>
      </c>
      <c r="P265" s="167"/>
      <c r="Q265" s="167">
        <f>2804*0.4809*1.233268817</f>
        <v>1662.9934433632211</v>
      </c>
      <c r="R265" s="167"/>
      <c r="S265" s="167"/>
      <c r="T265" s="167"/>
      <c r="U265" s="167"/>
      <c r="V265" s="167"/>
    </row>
    <row r="266" spans="2:22" hidden="1">
      <c r="B266" s="340">
        <v>4</v>
      </c>
      <c r="C266" s="282" t="s">
        <v>1001</v>
      </c>
      <c r="D266" s="16" t="s">
        <v>22</v>
      </c>
      <c r="E266" s="167"/>
      <c r="F266" s="167">
        <v>1260.6199999999999</v>
      </c>
      <c r="G266" s="167"/>
      <c r="H266" s="167">
        <v>794.46</v>
      </c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</row>
    <row r="267" spans="2:22">
      <c r="B267" s="340">
        <v>4</v>
      </c>
      <c r="C267" s="282" t="s">
        <v>1002</v>
      </c>
      <c r="D267" s="16"/>
      <c r="E267" s="167"/>
      <c r="F267" s="167"/>
      <c r="G267" s="167"/>
      <c r="H267" s="167">
        <v>630.48</v>
      </c>
      <c r="I267" s="167">
        <v>630.48</v>
      </c>
      <c r="J267" s="167">
        <f>'[7]проценты по кредитам'!B31*'[7]проценты по кредитам'!C37/1000</f>
        <v>14023.871853600001</v>
      </c>
      <c r="K267" s="167">
        <v>5055.2299999999996</v>
      </c>
      <c r="L267" s="167">
        <f>19516*0.481</f>
        <v>9387.1959999999999</v>
      </c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</row>
    <row r="268" spans="2:22">
      <c r="B268" s="340">
        <v>5</v>
      </c>
      <c r="C268" s="282" t="s">
        <v>1003</v>
      </c>
      <c r="D268" s="16"/>
      <c r="E268" s="167"/>
      <c r="F268" s="167"/>
      <c r="G268" s="167"/>
      <c r="H268" s="167">
        <v>9057.26</v>
      </c>
      <c r="I268" s="167">
        <f>5057+11.58</f>
        <v>5068.58</v>
      </c>
      <c r="J268" s="167">
        <f>'[7]проценты по кредитам'!B32*'[7]проценты по кредитам'!C37/1000</f>
        <v>10282.606007799999</v>
      </c>
      <c r="K268" s="167">
        <v>12931.1</v>
      </c>
      <c r="L268" s="167">
        <f>10594.4*0.481</f>
        <v>5095.9063999999998</v>
      </c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</row>
    <row r="269" spans="2:22">
      <c r="B269" s="340">
        <v>6</v>
      </c>
      <c r="C269" s="282" t="s">
        <v>1004</v>
      </c>
      <c r="D269" s="16"/>
      <c r="E269" s="167"/>
      <c r="F269" s="167"/>
      <c r="G269" s="167">
        <v>1916.03</v>
      </c>
      <c r="H269" s="167">
        <v>10828.61</v>
      </c>
      <c r="I269" s="167">
        <v>8057.26</v>
      </c>
      <c r="J269" s="167">
        <f>'[7]проценты по кредитам'!B30*'[7]проценты по кредитам'!C37/1000</f>
        <v>5524.5484728000001</v>
      </c>
      <c r="K269" s="167">
        <v>5233.59</v>
      </c>
      <c r="L269" s="167">
        <f>7678.45*0.481</f>
        <v>3693.3344499999998</v>
      </c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</row>
    <row r="270" spans="2:22">
      <c r="B270" s="340">
        <v>7</v>
      </c>
      <c r="C270" s="282" t="s">
        <v>1005</v>
      </c>
      <c r="D270" s="16"/>
      <c r="E270" s="167"/>
      <c r="F270" s="167"/>
      <c r="G270" s="167"/>
      <c r="H270" s="167"/>
      <c r="I270" s="167"/>
      <c r="J270" s="167">
        <f>'[7]проценты по кредитам'!B29*'[7]проценты по кредитам'!C37/1000</f>
        <v>3347.3881314999999</v>
      </c>
      <c r="K270" s="167">
        <v>4968.6000000000004</v>
      </c>
      <c r="L270" s="167">
        <f>7214.54*0.481</f>
        <v>3470.1937399999997</v>
      </c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</row>
    <row r="271" spans="2:22" ht="22.5">
      <c r="B271" s="340">
        <v>8</v>
      </c>
      <c r="C271" s="282" t="s">
        <v>1395</v>
      </c>
      <c r="D271" s="16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</row>
    <row r="272" spans="2:22" s="332" customFormat="1" ht="25.5">
      <c r="B272" s="444"/>
      <c r="C272" s="295" t="s">
        <v>1006</v>
      </c>
      <c r="D272" s="416" t="s">
        <v>22</v>
      </c>
      <c r="E272" s="297">
        <f t="shared" ref="E272:K272" si="60">SUM(E263:E270)</f>
        <v>15270.54</v>
      </c>
      <c r="F272" s="297">
        <f t="shared" si="60"/>
        <v>17600.579999999998</v>
      </c>
      <c r="G272" s="297">
        <f t="shared" si="60"/>
        <v>22829.94</v>
      </c>
      <c r="H272" s="297">
        <f t="shared" si="60"/>
        <v>26249.050000000003</v>
      </c>
      <c r="I272" s="297">
        <f t="shared" si="60"/>
        <v>26541</v>
      </c>
      <c r="J272" s="297">
        <f t="shared" si="60"/>
        <v>33178.4144657</v>
      </c>
      <c r="K272" s="297">
        <f t="shared" si="60"/>
        <v>28188.520000000004</v>
      </c>
      <c r="L272" s="297">
        <f>SUM(L263:L270)-0.33</f>
        <v>26026.774889999993</v>
      </c>
      <c r="M272" s="297">
        <f>SUM(M263:M270)</f>
        <v>26767.889316258999</v>
      </c>
      <c r="N272" s="297">
        <f>'К ВС'!Q102</f>
        <v>4869.3369610808331</v>
      </c>
      <c r="O272" s="297">
        <f>SUM(O263:O270)+0.04</f>
        <v>24348.785858200001</v>
      </c>
      <c r="P272" s="297">
        <f t="shared" ref="P272:V272" si="61">SUM(P263:P270)</f>
        <v>0</v>
      </c>
      <c r="Q272" s="297">
        <f t="shared" si="61"/>
        <v>20728.765867017431</v>
      </c>
      <c r="R272" s="297">
        <f t="shared" si="61"/>
        <v>0</v>
      </c>
      <c r="S272" s="297">
        <f t="shared" si="61"/>
        <v>16783.12822875</v>
      </c>
      <c r="T272" s="297">
        <f t="shared" si="61"/>
        <v>0</v>
      </c>
      <c r="U272" s="297">
        <f t="shared" si="61"/>
        <v>9294.6283315764995</v>
      </c>
      <c r="V272" s="297">
        <f t="shared" si="61"/>
        <v>0</v>
      </c>
    </row>
    <row r="273" spans="2:22">
      <c r="B273" s="450"/>
      <c r="C273" s="330"/>
      <c r="D273" s="451"/>
      <c r="E273" s="331"/>
      <c r="F273" s="331"/>
      <c r="G273" s="331"/>
      <c r="H273" s="331"/>
      <c r="I273" s="331"/>
      <c r="J273" s="331"/>
      <c r="K273" s="331"/>
      <c r="L273" s="331"/>
      <c r="M273" s="118"/>
      <c r="O273" s="118"/>
      <c r="Q273" s="118"/>
      <c r="S273" s="118"/>
      <c r="U273" s="118"/>
    </row>
    <row r="274" spans="2:22">
      <c r="B274" s="452" t="s">
        <v>1007</v>
      </c>
      <c r="C274" s="453"/>
      <c r="D274" s="454"/>
      <c r="E274" s="455"/>
      <c r="F274" s="331"/>
      <c r="G274" s="331"/>
      <c r="H274" s="331"/>
      <c r="I274" s="331"/>
      <c r="J274" s="331"/>
      <c r="K274" s="331"/>
      <c r="L274" s="331"/>
      <c r="P274" s="118"/>
    </row>
    <row r="275" spans="2:22">
      <c r="B275" s="456"/>
      <c r="C275" s="453"/>
      <c r="D275" s="454"/>
      <c r="E275" s="455"/>
      <c r="F275" s="331"/>
      <c r="G275" s="331"/>
      <c r="H275" s="331"/>
      <c r="I275" s="331"/>
      <c r="J275" s="331"/>
      <c r="K275" s="331"/>
      <c r="L275" s="331"/>
    </row>
    <row r="276" spans="2:22" ht="17.25" customHeight="1">
      <c r="B276" s="419" t="s">
        <v>1008</v>
      </c>
      <c r="C276" s="448"/>
      <c r="D276" s="449"/>
      <c r="E276" s="331"/>
      <c r="F276" s="331"/>
      <c r="G276" s="331"/>
      <c r="H276" s="331"/>
      <c r="I276" s="331">
        <v>1.0296000000000001</v>
      </c>
      <c r="J276" s="331"/>
      <c r="K276" s="331"/>
      <c r="L276" s="331"/>
      <c r="M276" s="1">
        <v>1.04</v>
      </c>
      <c r="O276" s="1">
        <v>1.04</v>
      </c>
      <c r="Q276" s="1">
        <v>1.04</v>
      </c>
      <c r="S276" s="1">
        <v>1.04</v>
      </c>
      <c r="U276" s="1">
        <v>1.04</v>
      </c>
    </row>
    <row r="277" spans="2:22" s="332" customFormat="1" ht="20.25" customHeight="1">
      <c r="B277" s="1597" t="s">
        <v>539</v>
      </c>
      <c r="C277" s="1598" t="s">
        <v>540</v>
      </c>
      <c r="D277" s="1599" t="s">
        <v>541</v>
      </c>
      <c r="E277" s="1596" t="s">
        <v>4</v>
      </c>
      <c r="F277" s="1596"/>
      <c r="G277" s="1596" t="s">
        <v>5</v>
      </c>
      <c r="H277" s="1596"/>
      <c r="I277" s="1596" t="s">
        <v>6</v>
      </c>
      <c r="J277" s="1596"/>
      <c r="K277" s="1596" t="s">
        <v>7</v>
      </c>
      <c r="L277" s="1596"/>
      <c r="M277" s="1596" t="str">
        <f>M260</f>
        <v>Факт 2019 год</v>
      </c>
      <c r="N277" s="1596"/>
      <c r="O277" s="1596" t="s">
        <v>9</v>
      </c>
      <c r="P277" s="1596"/>
      <c r="Q277" s="1596" t="s">
        <v>10</v>
      </c>
      <c r="R277" s="1596"/>
      <c r="S277" s="1596" t="s">
        <v>11</v>
      </c>
      <c r="T277" s="1596"/>
      <c r="U277" s="1596" t="s">
        <v>12</v>
      </c>
      <c r="V277" s="1596"/>
    </row>
    <row r="278" spans="2:22" s="332" customFormat="1" ht="37.35" customHeight="1">
      <c r="B278" s="1597"/>
      <c r="C278" s="1598"/>
      <c r="D278" s="1599"/>
      <c r="E278" s="149" t="s">
        <v>13</v>
      </c>
      <c r="F278" s="150" t="s">
        <v>14</v>
      </c>
      <c r="G278" s="149" t="s">
        <v>13</v>
      </c>
      <c r="H278" s="150" t="s">
        <v>14</v>
      </c>
      <c r="I278" s="149" t="s">
        <v>13</v>
      </c>
      <c r="J278" s="150" t="s">
        <v>14</v>
      </c>
      <c r="K278" s="149" t="s">
        <v>13</v>
      </c>
      <c r="L278" s="150" t="s">
        <v>15</v>
      </c>
      <c r="M278" s="149" t="s">
        <v>16</v>
      </c>
      <c r="N278" s="150" t="s">
        <v>17</v>
      </c>
      <c r="O278" s="149" t="s">
        <v>16</v>
      </c>
      <c r="P278" s="150" t="s">
        <v>17</v>
      </c>
      <c r="Q278" s="149" t="s">
        <v>16</v>
      </c>
      <c r="R278" s="150" t="s">
        <v>17</v>
      </c>
      <c r="S278" s="149" t="s">
        <v>16</v>
      </c>
      <c r="T278" s="150" t="s">
        <v>17</v>
      </c>
      <c r="U278" s="149" t="s">
        <v>16</v>
      </c>
      <c r="V278" s="150" t="s">
        <v>17</v>
      </c>
    </row>
    <row r="279" spans="2:22" s="332" customFormat="1">
      <c r="B279" s="155">
        <v>1</v>
      </c>
      <c r="C279" s="155">
        <v>2</v>
      </c>
      <c r="D279" s="155">
        <v>3</v>
      </c>
      <c r="E279" s="155">
        <v>4</v>
      </c>
      <c r="F279" s="155">
        <v>5</v>
      </c>
      <c r="G279" s="155">
        <v>6</v>
      </c>
      <c r="H279" s="155">
        <v>7</v>
      </c>
      <c r="I279" s="155">
        <v>8</v>
      </c>
      <c r="J279" s="155">
        <v>9</v>
      </c>
      <c r="K279" s="155">
        <v>10</v>
      </c>
      <c r="L279" s="155">
        <v>11</v>
      </c>
      <c r="M279" s="155">
        <v>12</v>
      </c>
      <c r="N279" s="155">
        <v>13</v>
      </c>
      <c r="O279" s="155">
        <v>14</v>
      </c>
      <c r="P279" s="155">
        <v>15</v>
      </c>
      <c r="Q279" s="155">
        <v>16</v>
      </c>
      <c r="R279" s="155">
        <v>17</v>
      </c>
      <c r="S279" s="155">
        <v>18</v>
      </c>
      <c r="T279" s="155">
        <v>19</v>
      </c>
      <c r="U279" s="155">
        <v>20</v>
      </c>
      <c r="V279" s="155">
        <v>21</v>
      </c>
    </row>
    <row r="280" spans="2:22" ht="21">
      <c r="B280" s="416">
        <v>1</v>
      </c>
      <c r="C280" s="164" t="s">
        <v>525</v>
      </c>
      <c r="D280" s="16" t="s">
        <v>22</v>
      </c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</row>
    <row r="281" spans="2:22" ht="34.5" customHeight="1">
      <c r="B281" s="416">
        <v>2</v>
      </c>
      <c r="C281" s="164" t="s">
        <v>1009</v>
      </c>
      <c r="D281" s="16" t="s">
        <v>22</v>
      </c>
      <c r="E281" s="286">
        <f t="shared" ref="E281:V281" si="62">E282+E283+E284</f>
        <v>0</v>
      </c>
      <c r="F281" s="286">
        <f t="shared" si="62"/>
        <v>0</v>
      </c>
      <c r="G281" s="286">
        <f t="shared" si="62"/>
        <v>0</v>
      </c>
      <c r="H281" s="286">
        <f t="shared" si="62"/>
        <v>0</v>
      </c>
      <c r="I281" s="286">
        <f t="shared" si="62"/>
        <v>0</v>
      </c>
      <c r="J281" s="286">
        <f t="shared" si="62"/>
        <v>0</v>
      </c>
      <c r="K281" s="286">
        <f t="shared" si="62"/>
        <v>0</v>
      </c>
      <c r="L281" s="286">
        <f t="shared" si="62"/>
        <v>0</v>
      </c>
      <c r="M281" s="286">
        <f t="shared" si="62"/>
        <v>0</v>
      </c>
      <c r="N281" s="286">
        <f t="shared" si="62"/>
        <v>0</v>
      </c>
      <c r="O281" s="286">
        <f t="shared" si="62"/>
        <v>0</v>
      </c>
      <c r="P281" s="286">
        <f t="shared" si="62"/>
        <v>0</v>
      </c>
      <c r="Q281" s="286">
        <f t="shared" si="62"/>
        <v>0</v>
      </c>
      <c r="R281" s="286">
        <f t="shared" si="62"/>
        <v>0</v>
      </c>
      <c r="S281" s="286">
        <f t="shared" si="62"/>
        <v>0</v>
      </c>
      <c r="T281" s="286">
        <f t="shared" si="62"/>
        <v>0</v>
      </c>
      <c r="U281" s="286">
        <f t="shared" si="62"/>
        <v>0</v>
      </c>
      <c r="V281" s="286">
        <f t="shared" si="62"/>
        <v>0</v>
      </c>
    </row>
    <row r="282" spans="2:22" hidden="1">
      <c r="B282" s="334" t="s">
        <v>198</v>
      </c>
      <c r="C282" s="32" t="s">
        <v>1010</v>
      </c>
      <c r="D282" s="16" t="s">
        <v>22</v>
      </c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</row>
    <row r="283" spans="2:22" hidden="1">
      <c r="B283" s="334" t="s">
        <v>202</v>
      </c>
      <c r="C283" s="32" t="s">
        <v>1010</v>
      </c>
      <c r="D283" s="16" t="s">
        <v>22</v>
      </c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</row>
    <row r="284" spans="2:22" hidden="1">
      <c r="B284" s="334" t="s">
        <v>206</v>
      </c>
      <c r="C284" s="32" t="s">
        <v>1010</v>
      </c>
      <c r="D284" s="16" t="s">
        <v>22</v>
      </c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</row>
    <row r="285" spans="2:22" ht="42">
      <c r="B285" s="416">
        <v>3</v>
      </c>
      <c r="C285" s="164" t="s">
        <v>1011</v>
      </c>
      <c r="D285" s="16" t="s">
        <v>22</v>
      </c>
      <c r="E285" s="286">
        <v>1583.56</v>
      </c>
      <c r="F285" s="286">
        <v>1595.46</v>
      </c>
      <c r="G285" s="286">
        <v>2102.9499999999998</v>
      </c>
      <c r="H285" s="286">
        <v>2469.66</v>
      </c>
      <c r="I285" s="286">
        <f>G285*I276</f>
        <v>2165.1973199999998</v>
      </c>
      <c r="J285" s="286">
        <f>682.227+348.66+8.69+75.72/2+130.43/2+0.36/2+273.47+66.21+118.23+850.9</f>
        <v>2451.6419999999998</v>
      </c>
      <c r="K285" s="286">
        <v>2222.85</v>
      </c>
      <c r="L285" s="286">
        <v>4178.76</v>
      </c>
      <c r="M285" s="286">
        <f>'К ВС'!S106</f>
        <v>3486.7779999999998</v>
      </c>
      <c r="N285" s="286"/>
      <c r="O285" s="286">
        <f>M285*O276</f>
        <v>3626.2491199999999</v>
      </c>
      <c r="P285" s="286"/>
      <c r="Q285" s="286">
        <f>O285*Q276</f>
        <v>3771.2990847999999</v>
      </c>
      <c r="R285" s="286"/>
      <c r="S285" s="286">
        <f>Q285*S276</f>
        <v>3922.151048192</v>
      </c>
      <c r="T285" s="286"/>
      <c r="U285" s="286">
        <f>S285*U276</f>
        <v>4079.0370901196802</v>
      </c>
      <c r="V285" s="286"/>
    </row>
    <row r="286" spans="2:22" ht="21">
      <c r="B286" s="416">
        <v>4</v>
      </c>
      <c r="C286" s="164" t="s">
        <v>181</v>
      </c>
      <c r="D286" s="16" t="s">
        <v>22</v>
      </c>
      <c r="E286" s="286">
        <f t="shared" ref="E286:V286" si="63">(E287+E290+E293)+E296</f>
        <v>0</v>
      </c>
      <c r="F286" s="286">
        <f t="shared" si="63"/>
        <v>0</v>
      </c>
      <c r="G286" s="286">
        <f t="shared" si="63"/>
        <v>0</v>
      </c>
      <c r="H286" s="286">
        <f t="shared" si="63"/>
        <v>0</v>
      </c>
      <c r="I286" s="286">
        <f t="shared" si="63"/>
        <v>0</v>
      </c>
      <c r="J286" s="286">
        <f t="shared" si="63"/>
        <v>0</v>
      </c>
      <c r="K286" s="286">
        <f t="shared" si="63"/>
        <v>0</v>
      </c>
      <c r="L286" s="286">
        <f t="shared" si="63"/>
        <v>0</v>
      </c>
      <c r="M286" s="286">
        <f t="shared" si="63"/>
        <v>0</v>
      </c>
      <c r="N286" s="286">
        <f t="shared" si="63"/>
        <v>0</v>
      </c>
      <c r="O286" s="286">
        <f t="shared" si="63"/>
        <v>0</v>
      </c>
      <c r="P286" s="286">
        <f t="shared" si="63"/>
        <v>0</v>
      </c>
      <c r="Q286" s="286">
        <f t="shared" si="63"/>
        <v>0</v>
      </c>
      <c r="R286" s="286">
        <f t="shared" si="63"/>
        <v>0</v>
      </c>
      <c r="S286" s="286">
        <f t="shared" si="63"/>
        <v>0</v>
      </c>
      <c r="T286" s="286">
        <f t="shared" si="63"/>
        <v>0</v>
      </c>
      <c r="U286" s="286">
        <f t="shared" si="63"/>
        <v>0</v>
      </c>
      <c r="V286" s="286">
        <f t="shared" si="63"/>
        <v>0</v>
      </c>
    </row>
    <row r="287" spans="2:22" hidden="1">
      <c r="B287" s="334"/>
      <c r="C287" s="15" t="s">
        <v>1012</v>
      </c>
      <c r="D287" s="16" t="s">
        <v>22</v>
      </c>
      <c r="E287" s="286">
        <f t="shared" ref="E287:V287" si="64">(E289*E288*12)/1000</f>
        <v>0</v>
      </c>
      <c r="F287" s="286">
        <f t="shared" si="64"/>
        <v>0</v>
      </c>
      <c r="G287" s="286">
        <f t="shared" si="64"/>
        <v>0</v>
      </c>
      <c r="H287" s="286">
        <f t="shared" si="64"/>
        <v>0</v>
      </c>
      <c r="I287" s="286">
        <f t="shared" si="64"/>
        <v>0</v>
      </c>
      <c r="J287" s="286">
        <f t="shared" si="64"/>
        <v>0</v>
      </c>
      <c r="K287" s="286">
        <f t="shared" si="64"/>
        <v>0</v>
      </c>
      <c r="L287" s="286">
        <f t="shared" si="64"/>
        <v>0</v>
      </c>
      <c r="M287" s="286">
        <f t="shared" si="64"/>
        <v>0</v>
      </c>
      <c r="N287" s="286">
        <f t="shared" si="64"/>
        <v>0</v>
      </c>
      <c r="O287" s="286">
        <f t="shared" si="64"/>
        <v>0</v>
      </c>
      <c r="P287" s="286">
        <f t="shared" si="64"/>
        <v>0</v>
      </c>
      <c r="Q287" s="286">
        <f t="shared" si="64"/>
        <v>0</v>
      </c>
      <c r="R287" s="286">
        <f t="shared" si="64"/>
        <v>0</v>
      </c>
      <c r="S287" s="286">
        <f t="shared" si="64"/>
        <v>0</v>
      </c>
      <c r="T287" s="286">
        <f t="shared" si="64"/>
        <v>0</v>
      </c>
      <c r="U287" s="286">
        <f t="shared" si="64"/>
        <v>0</v>
      </c>
      <c r="V287" s="286">
        <f t="shared" si="64"/>
        <v>0</v>
      </c>
    </row>
    <row r="288" spans="2:22" hidden="1">
      <c r="B288" s="334" t="s">
        <v>286</v>
      </c>
      <c r="C288" s="32" t="s">
        <v>1013</v>
      </c>
      <c r="D288" s="16" t="s">
        <v>31</v>
      </c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</row>
    <row r="289" spans="2:22" ht="17.25" hidden="1" customHeight="1">
      <c r="B289" s="334" t="s">
        <v>1014</v>
      </c>
      <c r="C289" s="32" t="s">
        <v>669</v>
      </c>
      <c r="D289" s="16" t="s">
        <v>670</v>
      </c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</row>
    <row r="290" spans="2:22" hidden="1">
      <c r="B290" s="428"/>
      <c r="C290" s="15" t="s">
        <v>1015</v>
      </c>
      <c r="D290" s="16" t="s">
        <v>22</v>
      </c>
      <c r="E290" s="286">
        <f t="shared" ref="E290:V290" si="65">(E292*E291*12)/1000</f>
        <v>0</v>
      </c>
      <c r="F290" s="286">
        <f t="shared" si="65"/>
        <v>0</v>
      </c>
      <c r="G290" s="286">
        <f t="shared" si="65"/>
        <v>0</v>
      </c>
      <c r="H290" s="286">
        <f t="shared" si="65"/>
        <v>0</v>
      </c>
      <c r="I290" s="286">
        <f t="shared" si="65"/>
        <v>0</v>
      </c>
      <c r="J290" s="286">
        <f t="shared" si="65"/>
        <v>0</v>
      </c>
      <c r="K290" s="286">
        <f t="shared" si="65"/>
        <v>0</v>
      </c>
      <c r="L290" s="286">
        <f t="shared" si="65"/>
        <v>0</v>
      </c>
      <c r="M290" s="286">
        <f t="shared" si="65"/>
        <v>0</v>
      </c>
      <c r="N290" s="286">
        <f t="shared" si="65"/>
        <v>0</v>
      </c>
      <c r="O290" s="286">
        <f t="shared" si="65"/>
        <v>0</v>
      </c>
      <c r="P290" s="286">
        <f t="shared" si="65"/>
        <v>0</v>
      </c>
      <c r="Q290" s="286">
        <f t="shared" si="65"/>
        <v>0</v>
      </c>
      <c r="R290" s="286">
        <f t="shared" si="65"/>
        <v>0</v>
      </c>
      <c r="S290" s="286">
        <f t="shared" si="65"/>
        <v>0</v>
      </c>
      <c r="T290" s="286">
        <f t="shared" si="65"/>
        <v>0</v>
      </c>
      <c r="U290" s="286">
        <f t="shared" si="65"/>
        <v>0</v>
      </c>
      <c r="V290" s="286">
        <f t="shared" si="65"/>
        <v>0</v>
      </c>
    </row>
    <row r="291" spans="2:22" hidden="1">
      <c r="B291" s="457" t="s">
        <v>1016</v>
      </c>
      <c r="C291" s="32" t="s">
        <v>1013</v>
      </c>
      <c r="D291" s="16" t="s">
        <v>31</v>
      </c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</row>
    <row r="292" spans="2:22" ht="19.5" hidden="1" customHeight="1">
      <c r="B292" s="457" t="s">
        <v>1017</v>
      </c>
      <c r="C292" s="32" t="s">
        <v>669</v>
      </c>
      <c r="D292" s="16" t="s">
        <v>670</v>
      </c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</row>
    <row r="293" spans="2:22" hidden="1">
      <c r="B293" s="457"/>
      <c r="C293" s="15" t="s">
        <v>1018</v>
      </c>
      <c r="D293" s="16" t="s">
        <v>22</v>
      </c>
      <c r="E293" s="286">
        <f t="shared" ref="E293:V293" si="66">(E295*E294*12)/1000</f>
        <v>0</v>
      </c>
      <c r="F293" s="286">
        <f t="shared" si="66"/>
        <v>0</v>
      </c>
      <c r="G293" s="286">
        <f t="shared" si="66"/>
        <v>0</v>
      </c>
      <c r="H293" s="286">
        <f t="shared" si="66"/>
        <v>0</v>
      </c>
      <c r="I293" s="286">
        <f t="shared" si="66"/>
        <v>0</v>
      </c>
      <c r="J293" s="286">
        <f t="shared" si="66"/>
        <v>0</v>
      </c>
      <c r="K293" s="286">
        <f t="shared" si="66"/>
        <v>0</v>
      </c>
      <c r="L293" s="286">
        <f t="shared" si="66"/>
        <v>0</v>
      </c>
      <c r="M293" s="286">
        <f t="shared" si="66"/>
        <v>0</v>
      </c>
      <c r="N293" s="286">
        <f t="shared" si="66"/>
        <v>0</v>
      </c>
      <c r="O293" s="286">
        <f t="shared" si="66"/>
        <v>0</v>
      </c>
      <c r="P293" s="286">
        <f t="shared" si="66"/>
        <v>0</v>
      </c>
      <c r="Q293" s="286">
        <f t="shared" si="66"/>
        <v>0</v>
      </c>
      <c r="R293" s="286">
        <f t="shared" si="66"/>
        <v>0</v>
      </c>
      <c r="S293" s="286">
        <f t="shared" si="66"/>
        <v>0</v>
      </c>
      <c r="T293" s="286">
        <f t="shared" si="66"/>
        <v>0</v>
      </c>
      <c r="U293" s="286">
        <f t="shared" si="66"/>
        <v>0</v>
      </c>
      <c r="V293" s="286">
        <f t="shared" si="66"/>
        <v>0</v>
      </c>
    </row>
    <row r="294" spans="2:22">
      <c r="B294" s="428" t="s">
        <v>1019</v>
      </c>
      <c r="C294" s="32" t="s">
        <v>1013</v>
      </c>
      <c r="D294" s="16" t="s">
        <v>31</v>
      </c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</row>
    <row r="295" spans="2:22" ht="15" customHeight="1">
      <c r="B295" s="428" t="s">
        <v>1020</v>
      </c>
      <c r="C295" s="32" t="s">
        <v>669</v>
      </c>
      <c r="D295" s="16" t="s">
        <v>670</v>
      </c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</row>
    <row r="296" spans="2:22" ht="38.1" customHeight="1">
      <c r="B296" s="428" t="s">
        <v>1021</v>
      </c>
      <c r="C296" s="164" t="s">
        <v>224</v>
      </c>
      <c r="D296" s="16" t="s">
        <v>22</v>
      </c>
      <c r="E296" s="286">
        <f t="shared" ref="E296:V296" si="67">(E287+E290+E293)*E297</f>
        <v>0</v>
      </c>
      <c r="F296" s="286">
        <f t="shared" si="67"/>
        <v>0</v>
      </c>
      <c r="G296" s="286">
        <f t="shared" si="67"/>
        <v>0</v>
      </c>
      <c r="H296" s="286">
        <f t="shared" si="67"/>
        <v>0</v>
      </c>
      <c r="I296" s="286">
        <f t="shared" si="67"/>
        <v>0</v>
      </c>
      <c r="J296" s="286">
        <f t="shared" si="67"/>
        <v>0</v>
      </c>
      <c r="K296" s="286">
        <f t="shared" si="67"/>
        <v>0</v>
      </c>
      <c r="L296" s="286">
        <f t="shared" si="67"/>
        <v>0</v>
      </c>
      <c r="M296" s="286">
        <f t="shared" si="67"/>
        <v>0</v>
      </c>
      <c r="N296" s="286">
        <f t="shared" si="67"/>
        <v>0</v>
      </c>
      <c r="O296" s="286">
        <f t="shared" si="67"/>
        <v>0</v>
      </c>
      <c r="P296" s="286">
        <f t="shared" si="67"/>
        <v>0</v>
      </c>
      <c r="Q296" s="286">
        <f t="shared" si="67"/>
        <v>0</v>
      </c>
      <c r="R296" s="286">
        <f t="shared" si="67"/>
        <v>0</v>
      </c>
      <c r="S296" s="286">
        <f t="shared" si="67"/>
        <v>0</v>
      </c>
      <c r="T296" s="286">
        <f t="shared" si="67"/>
        <v>0</v>
      </c>
      <c r="U296" s="286">
        <f t="shared" si="67"/>
        <v>0</v>
      </c>
      <c r="V296" s="286">
        <f t="shared" si="67"/>
        <v>0</v>
      </c>
    </row>
    <row r="297" spans="2:22" ht="16.5" customHeight="1">
      <c r="B297" s="428" t="s">
        <v>1022</v>
      </c>
      <c r="C297" s="164" t="s">
        <v>676</v>
      </c>
      <c r="D297" s="16" t="s">
        <v>353</v>
      </c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</row>
    <row r="298" spans="2:22" ht="19.5" customHeight="1">
      <c r="B298" s="428" t="s">
        <v>1023</v>
      </c>
      <c r="C298" s="164" t="s">
        <v>1396</v>
      </c>
      <c r="D298" s="16"/>
      <c r="E298" s="286"/>
      <c r="F298" s="286">
        <v>10534</v>
      </c>
      <c r="G298" s="286">
        <v>11569.28</v>
      </c>
      <c r="H298" s="286">
        <v>14329.49</v>
      </c>
      <c r="I298" s="286">
        <f>G298*I276</f>
        <v>11911.730688000001</v>
      </c>
      <c r="J298" s="286">
        <v>36154.199999999997</v>
      </c>
      <c r="K298" s="286">
        <v>12228.94</v>
      </c>
      <c r="L298" s="286">
        <v>41285.834999999999</v>
      </c>
      <c r="M298" s="286">
        <f>M299+M300</f>
        <v>41751.705000000002</v>
      </c>
      <c r="N298" s="286">
        <f>N299+N300</f>
        <v>30131.476930943994</v>
      </c>
      <c r="O298" s="286">
        <f t="shared" ref="O298:V298" si="68">O299+O300</f>
        <v>43421.773200000003</v>
      </c>
      <c r="P298" s="286">
        <f t="shared" si="68"/>
        <v>0</v>
      </c>
      <c r="Q298" s="286">
        <f t="shared" si="68"/>
        <v>45158.644128</v>
      </c>
      <c r="R298" s="286">
        <f t="shared" si="68"/>
        <v>0</v>
      </c>
      <c r="S298" s="286">
        <f t="shared" si="68"/>
        <v>46964.989893120008</v>
      </c>
      <c r="T298" s="286">
        <f t="shared" si="68"/>
        <v>0</v>
      </c>
      <c r="U298" s="286">
        <f t="shared" si="68"/>
        <v>48843.589488844802</v>
      </c>
      <c r="V298" s="286">
        <f t="shared" si="68"/>
        <v>0</v>
      </c>
    </row>
    <row r="299" spans="2:22" ht="19.5" customHeight="1">
      <c r="B299" s="1096"/>
      <c r="C299" s="164" t="s">
        <v>1397</v>
      </c>
      <c r="D299" s="16"/>
      <c r="E299" s="286"/>
      <c r="F299" s="286"/>
      <c r="G299" s="286"/>
      <c r="H299" s="286"/>
      <c r="I299" s="286"/>
      <c r="J299" s="286"/>
      <c r="K299" s="286"/>
      <c r="L299" s="286"/>
      <c r="M299" s="286">
        <f>'К ВС'!S108</f>
        <v>39449.273000000001</v>
      </c>
      <c r="N299" s="286">
        <f>'К ВС'!Q108</f>
        <v>27794.999999999993</v>
      </c>
      <c r="O299" s="286">
        <f>M299*O276</f>
        <v>41027.243920000001</v>
      </c>
      <c r="P299" s="286"/>
      <c r="Q299" s="286">
        <f>O299*Q276</f>
        <v>42668.333676800001</v>
      </c>
      <c r="R299" s="286"/>
      <c r="S299" s="286">
        <f>Q299*S276</f>
        <v>44375.067023872005</v>
      </c>
      <c r="T299" s="286">
        <f>R299*T276</f>
        <v>0</v>
      </c>
      <c r="U299" s="286">
        <f>S299*U276</f>
        <v>46150.069704826885</v>
      </c>
      <c r="V299" s="286"/>
    </row>
    <row r="300" spans="2:22" ht="19.5" customHeight="1">
      <c r="B300" s="1096"/>
      <c r="C300" s="164" t="s">
        <v>1398</v>
      </c>
      <c r="D300" s="16"/>
      <c r="E300" s="286"/>
      <c r="F300" s="286"/>
      <c r="G300" s="286"/>
      <c r="H300" s="286"/>
      <c r="I300" s="286"/>
      <c r="J300" s="286"/>
      <c r="K300" s="286"/>
      <c r="L300" s="286"/>
      <c r="M300" s="286">
        <f>'К ВС'!S168</f>
        <v>2302.4319999999998</v>
      </c>
      <c r="N300" s="286">
        <f>'К ВС'!Q168</f>
        <v>2336.4769309440003</v>
      </c>
      <c r="O300" s="286">
        <f>M300*O276</f>
        <v>2394.5292799999997</v>
      </c>
      <c r="P300" s="286"/>
      <c r="Q300" s="286">
        <f>O300*Q276</f>
        <v>2490.3104512</v>
      </c>
      <c r="R300" s="286"/>
      <c r="S300" s="286">
        <f>Q300*S276</f>
        <v>2589.9228692480001</v>
      </c>
      <c r="T300" s="286"/>
      <c r="U300" s="286">
        <f>S300*U276</f>
        <v>2693.5197840179203</v>
      </c>
      <c r="V300" s="286"/>
    </row>
    <row r="301" spans="2:22" ht="19.5" customHeight="1">
      <c r="B301" s="428" t="s">
        <v>1024</v>
      </c>
      <c r="C301" s="164" t="s">
        <v>185</v>
      </c>
      <c r="D301" s="16"/>
      <c r="E301" s="286"/>
      <c r="F301" s="286"/>
      <c r="G301" s="286">
        <v>2677.5</v>
      </c>
      <c r="H301" s="286">
        <v>4051.54</v>
      </c>
      <c r="I301" s="286">
        <f>G301*I276</f>
        <v>2756.7540000000004</v>
      </c>
      <c r="J301" s="286">
        <f>84.53+18.49+578.39+66+1937+711+566.88/2</f>
        <v>3678.85</v>
      </c>
      <c r="K301" s="286">
        <v>2830.17</v>
      </c>
      <c r="L301" s="286">
        <v>4051.7950000000001</v>
      </c>
      <c r="M301" s="286">
        <f>'К ВС'!S109</f>
        <v>5019.3039999999992</v>
      </c>
      <c r="N301" s="286">
        <f>'К ВС'!Q109</f>
        <v>2961.4209304679998</v>
      </c>
      <c r="O301" s="286">
        <f>M301*O276</f>
        <v>5220.0761599999996</v>
      </c>
      <c r="P301" s="286"/>
      <c r="Q301" s="286">
        <f>O301*Q276</f>
        <v>5428.8792063999999</v>
      </c>
      <c r="R301" s="286"/>
      <c r="S301" s="286">
        <f>Q301*S276</f>
        <v>5646.0343746560002</v>
      </c>
      <c r="T301" s="286"/>
      <c r="U301" s="286">
        <f>S301*U276</f>
        <v>5871.8757496422404</v>
      </c>
      <c r="V301" s="286"/>
    </row>
    <row r="302" spans="2:22" ht="25.5">
      <c r="B302" s="441"/>
      <c r="C302" s="295" t="s">
        <v>1025</v>
      </c>
      <c r="D302" s="416" t="s">
        <v>22</v>
      </c>
      <c r="E302" s="297">
        <f>E280+E281+E285+E286</f>
        <v>1583.56</v>
      </c>
      <c r="F302" s="297">
        <f t="shared" ref="F302:V302" si="69">F280+F281+F285+F286+F298+F301</f>
        <v>12129.46</v>
      </c>
      <c r="G302" s="297">
        <f t="shared" si="69"/>
        <v>16349.73</v>
      </c>
      <c r="H302" s="297">
        <f t="shared" si="69"/>
        <v>20850.690000000002</v>
      </c>
      <c r="I302" s="297">
        <f t="shared" si="69"/>
        <v>16833.682008</v>
      </c>
      <c r="J302" s="297">
        <f t="shared" si="69"/>
        <v>42284.691999999995</v>
      </c>
      <c r="K302" s="297">
        <f t="shared" si="69"/>
        <v>17281.96</v>
      </c>
      <c r="L302" s="297">
        <f t="shared" si="69"/>
        <v>49516.39</v>
      </c>
      <c r="M302" s="297">
        <f t="shared" si="69"/>
        <v>50257.786999999997</v>
      </c>
      <c r="N302" s="297">
        <f t="shared" si="69"/>
        <v>33092.897861411991</v>
      </c>
      <c r="O302" s="297">
        <f t="shared" si="69"/>
        <v>52268.098480000001</v>
      </c>
      <c r="P302" s="297">
        <f t="shared" si="69"/>
        <v>0</v>
      </c>
      <c r="Q302" s="297">
        <f t="shared" si="69"/>
        <v>54358.822419199998</v>
      </c>
      <c r="R302" s="297">
        <f t="shared" si="69"/>
        <v>0</v>
      </c>
      <c r="S302" s="297">
        <f t="shared" si="69"/>
        <v>56533.175315968008</v>
      </c>
      <c r="T302" s="297">
        <f t="shared" si="69"/>
        <v>0</v>
      </c>
      <c r="U302" s="297">
        <f t="shared" si="69"/>
        <v>58794.502328606723</v>
      </c>
      <c r="V302" s="297">
        <f t="shared" si="69"/>
        <v>0</v>
      </c>
    </row>
    <row r="303" spans="2:22">
      <c r="B303" s="450"/>
      <c r="C303" s="330"/>
      <c r="D303" s="331"/>
      <c r="E303" s="331"/>
      <c r="F303" s="331"/>
      <c r="G303" s="331"/>
      <c r="H303" s="331"/>
      <c r="I303" s="331"/>
      <c r="J303" s="331"/>
      <c r="K303" s="331"/>
      <c r="L303" s="331"/>
    </row>
    <row r="304" spans="2:22">
      <c r="B304" s="450"/>
      <c r="C304" s="330"/>
      <c r="D304" s="331"/>
      <c r="E304" s="331"/>
      <c r="F304" s="331"/>
      <c r="G304" s="331"/>
      <c r="H304" s="331"/>
      <c r="I304" s="331"/>
      <c r="J304" s="331"/>
      <c r="K304" s="331"/>
      <c r="L304" s="331"/>
    </row>
    <row r="305" spans="2:22" ht="15.75">
      <c r="B305" s="419" t="s">
        <v>1026</v>
      </c>
      <c r="C305" s="330"/>
      <c r="D305" s="331"/>
      <c r="E305" s="331"/>
      <c r="F305" s="331"/>
      <c r="G305" s="331"/>
      <c r="H305" s="331"/>
      <c r="I305" s="331">
        <v>1.0296000000000001</v>
      </c>
      <c r="J305" s="331"/>
      <c r="K305" s="331"/>
      <c r="L305" s="331"/>
    </row>
    <row r="306" spans="2:22" s="332" customFormat="1" ht="18.75" customHeight="1">
      <c r="B306" s="1597" t="s">
        <v>539</v>
      </c>
      <c r="C306" s="1598" t="s">
        <v>540</v>
      </c>
      <c r="D306" s="1599" t="s">
        <v>541</v>
      </c>
      <c r="E306" s="1596" t="s">
        <v>4</v>
      </c>
      <c r="F306" s="1596"/>
      <c r="G306" s="1596" t="s">
        <v>5</v>
      </c>
      <c r="H306" s="1596"/>
      <c r="I306" s="1596" t="s">
        <v>6</v>
      </c>
      <c r="J306" s="1596"/>
      <c r="K306" s="1596" t="s">
        <v>7</v>
      </c>
      <c r="L306" s="1596"/>
      <c r="M306" s="1596" t="str">
        <f>M277</f>
        <v>Факт 2019 год</v>
      </c>
      <c r="N306" s="1596"/>
      <c r="O306" s="1596" t="s">
        <v>1385</v>
      </c>
      <c r="P306" s="1596"/>
      <c r="Q306" s="1596" t="s">
        <v>10</v>
      </c>
      <c r="R306" s="1596"/>
      <c r="S306" s="1596" t="s">
        <v>11</v>
      </c>
      <c r="T306" s="1596"/>
      <c r="U306" s="1596" t="s">
        <v>12</v>
      </c>
      <c r="V306" s="1596"/>
    </row>
    <row r="307" spans="2:22" s="332" customFormat="1" ht="37.35" customHeight="1">
      <c r="B307" s="1597"/>
      <c r="C307" s="1598"/>
      <c r="D307" s="1599"/>
      <c r="E307" s="149" t="s">
        <v>13</v>
      </c>
      <c r="F307" s="150" t="s">
        <v>14</v>
      </c>
      <c r="G307" s="149" t="s">
        <v>13</v>
      </c>
      <c r="H307" s="150" t="s">
        <v>14</v>
      </c>
      <c r="I307" s="149" t="s">
        <v>13</v>
      </c>
      <c r="J307" s="150" t="s">
        <v>14</v>
      </c>
      <c r="K307" s="149" t="s">
        <v>13</v>
      </c>
      <c r="L307" s="150" t="s">
        <v>1283</v>
      </c>
      <c r="M307" s="149" t="s">
        <v>16</v>
      </c>
      <c r="N307" s="150" t="s">
        <v>17</v>
      </c>
      <c r="O307" s="149" t="s">
        <v>16</v>
      </c>
      <c r="P307" s="150" t="s">
        <v>17</v>
      </c>
      <c r="Q307" s="149" t="s">
        <v>16</v>
      </c>
      <c r="R307" s="150" t="s">
        <v>17</v>
      </c>
      <c r="S307" s="149" t="s">
        <v>16</v>
      </c>
      <c r="T307" s="150" t="s">
        <v>17</v>
      </c>
      <c r="U307" s="149" t="s">
        <v>16</v>
      </c>
      <c r="V307" s="150" t="s">
        <v>17</v>
      </c>
    </row>
    <row r="308" spans="2:22" s="332" customFormat="1">
      <c r="B308" s="155">
        <v>1</v>
      </c>
      <c r="C308" s="155">
        <v>2</v>
      </c>
      <c r="D308" s="155">
        <v>3</v>
      </c>
      <c r="E308" s="155">
        <v>4</v>
      </c>
      <c r="F308" s="155">
        <v>5</v>
      </c>
      <c r="G308" s="155">
        <v>6</v>
      </c>
      <c r="H308" s="155">
        <v>7</v>
      </c>
      <c r="I308" s="155">
        <v>8</v>
      </c>
      <c r="J308" s="155">
        <v>9</v>
      </c>
      <c r="K308" s="155">
        <v>10</v>
      </c>
      <c r="L308" s="155">
        <v>11</v>
      </c>
      <c r="M308" s="155">
        <v>12</v>
      </c>
      <c r="N308" s="155">
        <v>13</v>
      </c>
      <c r="O308" s="155">
        <v>14</v>
      </c>
      <c r="P308" s="155">
        <v>15</v>
      </c>
      <c r="Q308" s="155">
        <v>16</v>
      </c>
      <c r="R308" s="155">
        <v>17</v>
      </c>
      <c r="S308" s="155">
        <v>18</v>
      </c>
      <c r="T308" s="155">
        <v>19</v>
      </c>
      <c r="U308" s="155">
        <v>20</v>
      </c>
      <c r="V308" s="155">
        <v>21</v>
      </c>
    </row>
    <row r="309" spans="2:22" ht="52.5">
      <c r="B309" s="458">
        <v>1</v>
      </c>
      <c r="C309" s="164" t="s">
        <v>1027</v>
      </c>
      <c r="D309" s="16" t="s">
        <v>22</v>
      </c>
      <c r="E309" s="286">
        <f t="shared" ref="E309:V309" si="70">E310+E311+E312+E313+E314+E315+E316</f>
        <v>16415.400000000001</v>
      </c>
      <c r="F309" s="286">
        <f t="shared" si="70"/>
        <v>13450.18</v>
      </c>
      <c r="G309" s="286">
        <f t="shared" si="70"/>
        <v>6932.66</v>
      </c>
      <c r="H309" s="286">
        <f t="shared" si="70"/>
        <v>16812.64</v>
      </c>
      <c r="I309" s="286">
        <f t="shared" si="70"/>
        <v>7137.8667359999999</v>
      </c>
      <c r="J309" s="286">
        <f t="shared" si="70"/>
        <v>12046.789999999999</v>
      </c>
      <c r="K309" s="286">
        <f t="shared" si="70"/>
        <v>7327.95</v>
      </c>
      <c r="L309" s="286">
        <v>16103.71</v>
      </c>
      <c r="M309" s="286">
        <v>17215.400000000001</v>
      </c>
      <c r="N309" s="286">
        <f t="shared" si="70"/>
        <v>0</v>
      </c>
      <c r="O309" s="286">
        <v>23956.19</v>
      </c>
      <c r="P309" s="286">
        <f t="shared" si="70"/>
        <v>0</v>
      </c>
      <c r="Q309" s="286">
        <v>23901.37</v>
      </c>
      <c r="R309" s="286">
        <f t="shared" si="70"/>
        <v>0</v>
      </c>
      <c r="S309" s="286">
        <v>24507.51</v>
      </c>
      <c r="T309" s="286">
        <f t="shared" si="70"/>
        <v>0</v>
      </c>
      <c r="U309" s="286">
        <v>24995.1</v>
      </c>
      <c r="V309" s="286">
        <f t="shared" si="70"/>
        <v>0</v>
      </c>
    </row>
    <row r="310" spans="2:22">
      <c r="B310" s="334" t="s">
        <v>24</v>
      </c>
      <c r="C310" s="32"/>
      <c r="D310" s="16" t="s">
        <v>22</v>
      </c>
      <c r="E310" s="167">
        <v>16415.400000000001</v>
      </c>
      <c r="F310" s="167">
        <v>13450.18</v>
      </c>
      <c r="G310" s="167">
        <v>6932.66</v>
      </c>
      <c r="H310" s="167">
        <v>16812.64</v>
      </c>
      <c r="I310" s="167">
        <f>G310*I305</f>
        <v>7137.8667359999999</v>
      </c>
      <c r="J310" s="167">
        <f>7370.94+4560+115.85</f>
        <v>12046.789999999999</v>
      </c>
      <c r="K310" s="167">
        <v>7327.95</v>
      </c>
      <c r="L310" s="167">
        <f>(1035+2.4)*6+874*6</f>
        <v>11468.400000000001</v>
      </c>
      <c r="M310" s="167">
        <f>M309</f>
        <v>17215.400000000001</v>
      </c>
      <c r="N310" s="167">
        <v>0</v>
      </c>
      <c r="O310" s="167">
        <f t="shared" ref="O310:U310" si="71">O309</f>
        <v>23956.19</v>
      </c>
      <c r="P310" s="167">
        <v>0</v>
      </c>
      <c r="Q310" s="167">
        <f t="shared" si="71"/>
        <v>23901.37</v>
      </c>
      <c r="R310" s="167">
        <v>0</v>
      </c>
      <c r="S310" s="167">
        <f t="shared" si="71"/>
        <v>24507.51</v>
      </c>
      <c r="T310" s="167">
        <v>0</v>
      </c>
      <c r="U310" s="167">
        <f t="shared" si="71"/>
        <v>24995.1</v>
      </c>
      <c r="V310" s="167">
        <v>0</v>
      </c>
    </row>
    <row r="311" spans="2:22" hidden="1">
      <c r="B311" s="334" t="s">
        <v>37</v>
      </c>
      <c r="C311" s="32"/>
      <c r="D311" s="16" t="s">
        <v>22</v>
      </c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</row>
    <row r="312" spans="2:22" hidden="1">
      <c r="B312" s="334" t="s">
        <v>143</v>
      </c>
      <c r="C312" s="32"/>
      <c r="D312" s="16" t="s">
        <v>22</v>
      </c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</row>
    <row r="313" spans="2:22" hidden="1">
      <c r="B313" s="334" t="s">
        <v>144</v>
      </c>
      <c r="C313" s="32"/>
      <c r="D313" s="16" t="s">
        <v>22</v>
      </c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</row>
    <row r="314" spans="2:22" hidden="1">
      <c r="B314" s="334" t="s">
        <v>172</v>
      </c>
      <c r="C314" s="32"/>
      <c r="D314" s="16" t="s">
        <v>22</v>
      </c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</row>
    <row r="315" spans="2:22" hidden="1">
      <c r="B315" s="334" t="s">
        <v>174</v>
      </c>
      <c r="C315" s="32"/>
      <c r="D315" s="16" t="s">
        <v>22</v>
      </c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</row>
    <row r="316" spans="2:22" hidden="1">
      <c r="B316" s="334" t="s">
        <v>176</v>
      </c>
      <c r="C316" s="32"/>
      <c r="D316" s="16" t="s">
        <v>22</v>
      </c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</row>
    <row r="317" spans="2:22" ht="52.5">
      <c r="B317" s="458" t="s">
        <v>196</v>
      </c>
      <c r="C317" s="164" t="s">
        <v>1028</v>
      </c>
      <c r="D317" s="16" t="s">
        <v>22</v>
      </c>
      <c r="E317" s="286">
        <f>E318+E319+E320+E321+E322+E323</f>
        <v>28063.86</v>
      </c>
      <c r="F317" s="286">
        <f>F318+F319+F320+F321+F322+F323</f>
        <v>48000.55</v>
      </c>
      <c r="G317" s="286">
        <f>G318+G319+G320+G321+G322+G323</f>
        <v>46957.13</v>
      </c>
      <c r="H317" s="286">
        <f>H318+H319+H320+H321+H322+H323</f>
        <v>34733.160000000003</v>
      </c>
      <c r="I317" s="286">
        <f>G317-971</f>
        <v>45986.13</v>
      </c>
      <c r="J317" s="286">
        <f>J318+J319+J320+J321+J322+J323</f>
        <v>21804.1</v>
      </c>
      <c r="K317" s="286">
        <f>K318+K319+K320+K321+K322+K323</f>
        <v>47210.74</v>
      </c>
      <c r="L317" s="286">
        <f>L318</f>
        <v>23912.91</v>
      </c>
      <c r="M317" s="286">
        <v>57967.83</v>
      </c>
      <c r="N317" s="286">
        <f>N318</f>
        <v>4297.7700000000004</v>
      </c>
      <c r="O317" s="286">
        <v>27315</v>
      </c>
      <c r="P317" s="286">
        <f t="shared" ref="P317:V317" si="72">P320</f>
        <v>0</v>
      </c>
      <c r="Q317" s="286">
        <f t="shared" si="72"/>
        <v>62286.62</v>
      </c>
      <c r="R317" s="286">
        <f t="shared" si="72"/>
        <v>0</v>
      </c>
      <c r="S317" s="286">
        <f t="shared" si="72"/>
        <v>68515.282000000007</v>
      </c>
      <c r="T317" s="286">
        <f t="shared" si="72"/>
        <v>0</v>
      </c>
      <c r="U317" s="286">
        <f t="shared" si="72"/>
        <v>75366.810200000007</v>
      </c>
      <c r="V317" s="286">
        <f t="shared" si="72"/>
        <v>0</v>
      </c>
    </row>
    <row r="318" spans="2:22">
      <c r="B318" s="334" t="s">
        <v>198</v>
      </c>
      <c r="C318" s="32" t="s">
        <v>1029</v>
      </c>
      <c r="D318" s="16" t="s">
        <v>22</v>
      </c>
      <c r="E318" s="167">
        <v>28063.86</v>
      </c>
      <c r="F318" s="167">
        <v>48000.55</v>
      </c>
      <c r="G318" s="167">
        <v>46957.13</v>
      </c>
      <c r="H318" s="167">
        <v>34733.160000000003</v>
      </c>
      <c r="I318" s="167">
        <v>45986.13</v>
      </c>
      <c r="J318" s="167">
        <v>21804.1</v>
      </c>
      <c r="K318" s="167">
        <v>47210.74</v>
      </c>
      <c r="L318" s="167">
        <v>23912.91</v>
      </c>
      <c r="M318" s="167"/>
      <c r="N318" s="167">
        <v>4297.7700000000004</v>
      </c>
      <c r="O318" s="167">
        <v>0</v>
      </c>
      <c r="P318" s="167"/>
      <c r="Q318" s="167">
        <v>0</v>
      </c>
      <c r="R318" s="167"/>
      <c r="S318" s="167">
        <v>0</v>
      </c>
      <c r="T318" s="167"/>
      <c r="U318" s="167">
        <v>0</v>
      </c>
      <c r="V318" s="167"/>
    </row>
    <row r="319" spans="2:22" ht="21">
      <c r="B319" s="458" t="s">
        <v>202</v>
      </c>
      <c r="C319" s="32" t="s">
        <v>1284</v>
      </c>
      <c r="D319" s="16" t="s">
        <v>22</v>
      </c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095">
        <v>113351.01</v>
      </c>
      <c r="P319" s="167"/>
      <c r="Q319" s="167">
        <f t="shared" ref="Q319:V319" si="73">Q320+Q321</f>
        <v>102428</v>
      </c>
      <c r="R319" s="167">
        <f t="shared" si="73"/>
        <v>0</v>
      </c>
      <c r="S319" s="167">
        <f t="shared" si="73"/>
        <v>140121.85999999999</v>
      </c>
      <c r="T319" s="167">
        <f t="shared" si="73"/>
        <v>0</v>
      </c>
      <c r="U319" s="167">
        <f t="shared" si="73"/>
        <v>145553.16999999998</v>
      </c>
      <c r="V319" s="167">
        <f t="shared" si="73"/>
        <v>0</v>
      </c>
    </row>
    <row r="320" spans="2:22" ht="21">
      <c r="B320" s="458" t="s">
        <v>206</v>
      </c>
      <c r="C320" s="32" t="s">
        <v>1285</v>
      </c>
      <c r="D320" s="16" t="s">
        <v>22</v>
      </c>
      <c r="E320" s="167"/>
      <c r="F320" s="167"/>
      <c r="G320" s="167"/>
      <c r="H320" s="167"/>
      <c r="I320" s="167"/>
      <c r="J320" s="167"/>
      <c r="K320" s="167"/>
      <c r="L320" s="167"/>
      <c r="M320" s="167">
        <f>M317</f>
        <v>57967.83</v>
      </c>
      <c r="N320" s="167"/>
      <c r="O320" s="167">
        <v>27315</v>
      </c>
      <c r="P320" s="167"/>
      <c r="Q320" s="167">
        <v>62286.62</v>
      </c>
      <c r="R320" s="167"/>
      <c r="S320" s="167">
        <f>Q320*1.1</f>
        <v>68515.282000000007</v>
      </c>
      <c r="T320" s="167"/>
      <c r="U320" s="167">
        <f>S320*1.1</f>
        <v>75366.810200000007</v>
      </c>
      <c r="V320" s="167"/>
    </row>
    <row r="321" spans="2:24" ht="21">
      <c r="B321" s="334" t="s">
        <v>572</v>
      </c>
      <c r="C321" s="32" t="s">
        <v>1286</v>
      </c>
      <c r="D321" s="16" t="s">
        <v>22</v>
      </c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095">
        <v>40141.379999999997</v>
      </c>
      <c r="P321" s="167"/>
      <c r="Q321" s="167">
        <v>40141.379999999997</v>
      </c>
      <c r="R321" s="167"/>
      <c r="S321" s="167">
        <f>'К ВС'!W172-S320</f>
        <v>71606.57799999998</v>
      </c>
      <c r="T321" s="167"/>
      <c r="U321" s="167">
        <f>'К ВС'!AA172-'расшифровки ВС'!U320</f>
        <v>70186.359799999977</v>
      </c>
      <c r="V321" s="167"/>
    </row>
    <row r="322" spans="2:24">
      <c r="B322" s="458" t="s">
        <v>574</v>
      </c>
      <c r="C322" s="32" t="s">
        <v>1287</v>
      </c>
      <c r="D322" s="16" t="s">
        <v>22</v>
      </c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</row>
    <row r="323" spans="2:24">
      <c r="B323" s="458" t="s">
        <v>576</v>
      </c>
      <c r="C323" s="32"/>
      <c r="D323" s="16" t="s">
        <v>22</v>
      </c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</row>
    <row r="324" spans="2:24" ht="42">
      <c r="B324" s="458" t="s">
        <v>579</v>
      </c>
      <c r="C324" s="164" t="s">
        <v>1030</v>
      </c>
      <c r="D324" s="16" t="s">
        <v>22</v>
      </c>
      <c r="E324" s="286">
        <f t="shared" ref="E324:V324" si="74">E325+E326</f>
        <v>7267.3733999999995</v>
      </c>
      <c r="F324" s="286">
        <f t="shared" si="74"/>
        <v>7232.8443600000001</v>
      </c>
      <c r="G324" s="286">
        <f t="shared" si="74"/>
        <v>7751.9517599999999</v>
      </c>
      <c r="H324" s="286">
        <f t="shared" si="74"/>
        <v>7356.5603999999994</v>
      </c>
      <c r="I324" s="286">
        <f t="shared" si="74"/>
        <v>7981.4095320960005</v>
      </c>
      <c r="J324" s="286">
        <f t="shared" si="74"/>
        <v>6948.0302976000003</v>
      </c>
      <c r="K324" s="286">
        <f t="shared" si="74"/>
        <v>8193.9518844114336</v>
      </c>
      <c r="L324" s="286">
        <f t="shared" si="74"/>
        <v>9312.869999999999</v>
      </c>
      <c r="M324" s="286">
        <f t="shared" si="74"/>
        <v>10182.88992</v>
      </c>
      <c r="N324" s="286">
        <f t="shared" si="74"/>
        <v>0</v>
      </c>
      <c r="O324" s="286">
        <f t="shared" si="74"/>
        <v>10590.22062</v>
      </c>
      <c r="P324" s="286">
        <f t="shared" si="74"/>
        <v>0</v>
      </c>
      <c r="Q324" s="286">
        <f t="shared" si="74"/>
        <v>11269.955759999999</v>
      </c>
      <c r="R324" s="286">
        <f t="shared" si="74"/>
        <v>0</v>
      </c>
      <c r="S324" s="286">
        <f t="shared" si="74"/>
        <v>9753.8414524250984</v>
      </c>
      <c r="T324" s="286">
        <f t="shared" si="74"/>
        <v>0</v>
      </c>
      <c r="U324" s="286">
        <f t="shared" si="74"/>
        <v>10143.995110522101</v>
      </c>
      <c r="V324" s="286">
        <f t="shared" si="74"/>
        <v>0</v>
      </c>
    </row>
    <row r="325" spans="2:24" ht="21">
      <c r="B325" s="458" t="s">
        <v>226</v>
      </c>
      <c r="C325" s="32" t="s">
        <v>209</v>
      </c>
      <c r="D325" s="16" t="s">
        <v>22</v>
      </c>
      <c r="E325" s="167">
        <v>5581.7</v>
      </c>
      <c r="F325" s="167">
        <v>5555.18</v>
      </c>
      <c r="G325" s="167">
        <v>5953.88</v>
      </c>
      <c r="H325" s="167">
        <v>5650.2</v>
      </c>
      <c r="I325" s="167">
        <f>G325*I305</f>
        <v>6130.1148480000002</v>
      </c>
      <c r="J325" s="167">
        <f>'[7]Зар.плата осн.персонала'!J221</f>
        <v>5336.4288000000006</v>
      </c>
      <c r="K325" s="167">
        <f>'[7]Зар.плата осн.персонала'!K221</f>
        <v>6293.357822128597</v>
      </c>
      <c r="L325" s="167">
        <v>7139.86</v>
      </c>
      <c r="M325" s="167">
        <v>7820.96</v>
      </c>
      <c r="N325" s="167">
        <f>'[7]Зар.плата осн.персонала'!N221</f>
        <v>0</v>
      </c>
      <c r="O325" s="167">
        <v>8133.81</v>
      </c>
      <c r="P325" s="167">
        <f>'[7]Зар.плата осн.персонала'!P221</f>
        <v>0</v>
      </c>
      <c r="Q325" s="167">
        <v>8655.8799999999992</v>
      </c>
      <c r="R325" s="167">
        <f>'[7]Зар.плата осн.персонала'!R221</f>
        <v>0</v>
      </c>
      <c r="S325" s="167">
        <f>'[7]Зар.плата осн.персонала'!S221</f>
        <v>7491.4296869624413</v>
      </c>
      <c r="T325" s="167">
        <f>'[7]Зар.плата осн.персонала'!T221</f>
        <v>0</v>
      </c>
      <c r="U325" s="167">
        <f>'[7]Зар.плата осн.персонала'!U221</f>
        <v>7791.0868744409381</v>
      </c>
      <c r="V325" s="167">
        <f>'[7]Зар.плата осн.персонала'!V221</f>
        <v>0</v>
      </c>
    </row>
    <row r="326" spans="2:24" ht="31.5">
      <c r="B326" s="458" t="s">
        <v>244</v>
      </c>
      <c r="C326" s="32" t="s">
        <v>224</v>
      </c>
      <c r="D326" s="16" t="s">
        <v>22</v>
      </c>
      <c r="E326" s="167">
        <f t="shared" ref="E326:U326" si="75">E325/100*E327</f>
        <v>1685.6733999999999</v>
      </c>
      <c r="F326" s="167">
        <f t="shared" si="75"/>
        <v>1677.66436</v>
      </c>
      <c r="G326" s="167">
        <f t="shared" si="75"/>
        <v>1798.07176</v>
      </c>
      <c r="H326" s="167">
        <f t="shared" si="75"/>
        <v>1706.3603999999998</v>
      </c>
      <c r="I326" s="167">
        <f t="shared" si="75"/>
        <v>1851.2946840960001</v>
      </c>
      <c r="J326" s="167">
        <f t="shared" si="75"/>
        <v>1611.6014976000001</v>
      </c>
      <c r="K326" s="167">
        <f t="shared" si="75"/>
        <v>1900.5940622828361</v>
      </c>
      <c r="L326" s="167">
        <v>2173.0100000000002</v>
      </c>
      <c r="M326" s="167">
        <f t="shared" si="75"/>
        <v>2361.9299199999996</v>
      </c>
      <c r="N326" s="167">
        <f t="shared" si="75"/>
        <v>0</v>
      </c>
      <c r="O326" s="167">
        <f t="shared" si="75"/>
        <v>2456.4106199999997</v>
      </c>
      <c r="P326" s="167">
        <f t="shared" si="75"/>
        <v>0</v>
      </c>
      <c r="Q326" s="167">
        <f>Q325/100*Q327</f>
        <v>2614.0757599999997</v>
      </c>
      <c r="R326" s="167">
        <f t="shared" si="75"/>
        <v>0</v>
      </c>
      <c r="S326" s="167">
        <f>S325/100*S327</f>
        <v>2262.4117654626571</v>
      </c>
      <c r="T326" s="167">
        <f t="shared" si="75"/>
        <v>0</v>
      </c>
      <c r="U326" s="167">
        <f t="shared" si="75"/>
        <v>2352.9082360811635</v>
      </c>
      <c r="V326" s="167"/>
    </row>
    <row r="327" spans="2:24">
      <c r="B327" s="459"/>
      <c r="C327" s="32" t="s">
        <v>676</v>
      </c>
      <c r="D327" s="16" t="s">
        <v>353</v>
      </c>
      <c r="E327" s="167">
        <v>30.2</v>
      </c>
      <c r="F327" s="167">
        <v>30.2</v>
      </c>
      <c r="G327" s="167">
        <v>30.2</v>
      </c>
      <c r="H327" s="167">
        <v>30.2</v>
      </c>
      <c r="I327" s="167">
        <v>30.2</v>
      </c>
      <c r="J327" s="167">
        <v>30.2</v>
      </c>
      <c r="K327" s="167">
        <v>30.2</v>
      </c>
      <c r="L327" s="167">
        <v>30.2</v>
      </c>
      <c r="M327" s="167">
        <v>30.2</v>
      </c>
      <c r="N327" s="167">
        <v>30.2</v>
      </c>
      <c r="O327" s="167">
        <v>30.2</v>
      </c>
      <c r="P327" s="167">
        <v>30.2</v>
      </c>
      <c r="Q327" s="167">
        <v>30.2</v>
      </c>
      <c r="R327" s="167">
        <v>30.2</v>
      </c>
      <c r="S327" s="167">
        <v>30.2</v>
      </c>
      <c r="T327" s="167">
        <v>30.2</v>
      </c>
      <c r="U327" s="167">
        <v>30.2</v>
      </c>
      <c r="V327" s="167">
        <v>30.2</v>
      </c>
    </row>
    <row r="328" spans="2:24">
      <c r="B328" s="459"/>
      <c r="C328" s="295" t="s">
        <v>1031</v>
      </c>
      <c r="D328" s="416" t="s">
        <v>22</v>
      </c>
      <c r="E328" s="297">
        <f t="shared" ref="E328:V328" si="76">E309+E317+E324</f>
        <v>51746.633399999999</v>
      </c>
      <c r="F328" s="297">
        <f t="shared" si="76"/>
        <v>68683.574359999999</v>
      </c>
      <c r="G328" s="297">
        <f t="shared" si="76"/>
        <v>61641.74175999999</v>
      </c>
      <c r="H328" s="297">
        <f t="shared" si="76"/>
        <v>58902.360400000005</v>
      </c>
      <c r="I328" s="297">
        <f t="shared" si="76"/>
        <v>61105.406268096005</v>
      </c>
      <c r="J328" s="297">
        <f t="shared" si="76"/>
        <v>40798.920297600002</v>
      </c>
      <c r="K328" s="297">
        <f t="shared" si="76"/>
        <v>62732.641884411431</v>
      </c>
      <c r="L328" s="297">
        <f t="shared" si="76"/>
        <v>49329.489999999991</v>
      </c>
      <c r="M328" s="297">
        <f t="shared" si="76"/>
        <v>85366.119920000012</v>
      </c>
      <c r="N328" s="297">
        <f t="shared" si="76"/>
        <v>4297.7700000000004</v>
      </c>
      <c r="O328" s="297">
        <f t="shared" si="76"/>
        <v>61861.410620000002</v>
      </c>
      <c r="P328" s="297">
        <f t="shared" si="76"/>
        <v>0</v>
      </c>
      <c r="Q328" s="297">
        <f t="shared" si="76"/>
        <v>97457.945760000002</v>
      </c>
      <c r="R328" s="297">
        <f t="shared" si="76"/>
        <v>0</v>
      </c>
      <c r="S328" s="297">
        <f t="shared" si="76"/>
        <v>102776.6334524251</v>
      </c>
      <c r="T328" s="297">
        <f t="shared" si="76"/>
        <v>0</v>
      </c>
      <c r="U328" s="297">
        <f t="shared" si="76"/>
        <v>110505.90531052211</v>
      </c>
      <c r="V328" s="297">
        <f t="shared" si="76"/>
        <v>0</v>
      </c>
    </row>
    <row r="329" spans="2:24">
      <c r="B329" s="460"/>
      <c r="C329" s="461"/>
      <c r="D329" s="462"/>
      <c r="E329" s="331"/>
      <c r="F329" s="331"/>
      <c r="G329" s="331"/>
      <c r="H329" s="331"/>
      <c r="I329" s="331"/>
      <c r="J329" s="331"/>
      <c r="K329" s="331"/>
      <c r="L329" s="331"/>
    </row>
    <row r="330" spans="2:24" ht="15.75">
      <c r="B330" s="419" t="s">
        <v>1032</v>
      </c>
      <c r="C330" s="461"/>
      <c r="D330" s="462"/>
      <c r="E330" s="331"/>
      <c r="F330" s="331"/>
      <c r="G330" s="331"/>
      <c r="H330" s="331"/>
      <c r="I330" s="331"/>
      <c r="J330" s="331"/>
      <c r="K330" s="331"/>
      <c r="L330" s="331"/>
    </row>
    <row r="331" spans="2:24">
      <c r="B331" s="460"/>
      <c r="C331" s="461"/>
      <c r="D331" s="462"/>
      <c r="E331" s="331"/>
      <c r="F331" s="331"/>
      <c r="G331" s="331"/>
      <c r="H331" s="331"/>
      <c r="I331" s="331"/>
      <c r="J331" s="331"/>
      <c r="K331" s="331"/>
      <c r="L331" s="331"/>
    </row>
    <row r="332" spans="2:24">
      <c r="B332" s="463" t="s">
        <v>1033</v>
      </c>
      <c r="C332" s="461"/>
      <c r="D332" s="462"/>
      <c r="E332" s="462"/>
      <c r="F332" s="462"/>
      <c r="G332" s="331"/>
      <c r="H332" s="331"/>
      <c r="I332" s="1601" t="s">
        <v>1034</v>
      </c>
      <c r="J332" s="1601"/>
      <c r="K332" s="1601"/>
      <c r="L332" s="1601"/>
      <c r="M332" s="1601"/>
      <c r="N332" s="1601"/>
      <c r="W332" s="1"/>
      <c r="X332" s="1"/>
    </row>
    <row r="333" spans="2:24">
      <c r="E333" s="417"/>
      <c r="F333" s="417"/>
      <c r="I333" s="1601" t="s">
        <v>889</v>
      </c>
      <c r="J333" s="1601"/>
      <c r="K333" s="1601"/>
      <c r="L333" s="1601"/>
      <c r="M333" s="1601"/>
      <c r="N333" s="1601"/>
      <c r="W333" s="1"/>
      <c r="X333" s="1"/>
    </row>
    <row r="334" spans="2:24">
      <c r="E334" s="417"/>
      <c r="F334" s="417"/>
      <c r="I334" s="418" t="s">
        <v>890</v>
      </c>
      <c r="J334" s="418"/>
      <c r="K334" s="418"/>
      <c r="L334" s="418"/>
      <c r="M334" s="418"/>
      <c r="N334" s="418"/>
      <c r="W334" s="1"/>
      <c r="X334" s="1"/>
    </row>
    <row r="335" spans="2:24">
      <c r="E335" s="417"/>
      <c r="F335" s="417"/>
      <c r="I335" s="1601" t="s">
        <v>891</v>
      </c>
      <c r="J335" s="1601"/>
      <c r="K335" s="1601"/>
      <c r="L335" s="1601"/>
      <c r="M335" s="1601"/>
      <c r="N335" s="1601"/>
      <c r="W335" s="1"/>
      <c r="X335" s="1"/>
    </row>
    <row r="337" spans="2:22" ht="15.75">
      <c r="B337" s="419" t="s">
        <v>1035</v>
      </c>
    </row>
    <row r="338" spans="2:22" s="332" customFormat="1" ht="24" customHeight="1">
      <c r="B338" s="1597" t="s">
        <v>539</v>
      </c>
      <c r="C338" s="1598" t="s">
        <v>540</v>
      </c>
      <c r="D338" s="1599" t="s">
        <v>541</v>
      </c>
      <c r="E338" s="1596" t="s">
        <v>4</v>
      </c>
      <c r="F338" s="1596"/>
      <c r="G338" s="1596" t="s">
        <v>5</v>
      </c>
      <c r="H338" s="1596"/>
      <c r="I338" s="1596" t="s">
        <v>6</v>
      </c>
      <c r="J338" s="1596"/>
      <c r="K338" s="1596" t="s">
        <v>7</v>
      </c>
      <c r="L338" s="1596"/>
      <c r="M338" s="1596" t="str">
        <f>M306</f>
        <v>Факт 2019 год</v>
      </c>
      <c r="N338" s="1596"/>
      <c r="O338" s="1596" t="s">
        <v>1385</v>
      </c>
      <c r="P338" s="1596"/>
      <c r="Q338" s="1596" t="s">
        <v>10</v>
      </c>
      <c r="R338" s="1596"/>
      <c r="S338" s="1596" t="s">
        <v>11</v>
      </c>
      <c r="T338" s="1596"/>
      <c r="U338" s="1596" t="s">
        <v>12</v>
      </c>
      <c r="V338" s="1596"/>
    </row>
    <row r="339" spans="2:22" s="332" customFormat="1" ht="46.35" customHeight="1">
      <c r="B339" s="1597"/>
      <c r="C339" s="1598"/>
      <c r="D339" s="1599"/>
      <c r="E339" s="149" t="s">
        <v>13</v>
      </c>
      <c r="F339" s="150" t="s">
        <v>14</v>
      </c>
      <c r="G339" s="149" t="s">
        <v>13</v>
      </c>
      <c r="H339" s="150" t="s">
        <v>14</v>
      </c>
      <c r="I339" s="149" t="s">
        <v>13</v>
      </c>
      <c r="J339" s="150" t="s">
        <v>14</v>
      </c>
      <c r="K339" s="149" t="s">
        <v>13</v>
      </c>
      <c r="L339" s="150" t="s">
        <v>14</v>
      </c>
      <c r="M339" s="149" t="s">
        <v>16</v>
      </c>
      <c r="N339" s="150" t="s">
        <v>17</v>
      </c>
      <c r="O339" s="149" t="s">
        <v>16</v>
      </c>
      <c r="P339" s="150" t="s">
        <v>17</v>
      </c>
      <c r="Q339" s="149" t="s">
        <v>16</v>
      </c>
      <c r="R339" s="150" t="s">
        <v>17</v>
      </c>
      <c r="S339" s="149" t="s">
        <v>16</v>
      </c>
      <c r="T339" s="150" t="s">
        <v>17</v>
      </c>
      <c r="U339" s="149" t="s">
        <v>16</v>
      </c>
      <c r="V339" s="150" t="s">
        <v>17</v>
      </c>
    </row>
    <row r="340" spans="2:22" s="332" customFormat="1">
      <c r="B340" s="155">
        <v>1</v>
      </c>
      <c r="C340" s="155">
        <v>2</v>
      </c>
      <c r="D340" s="155">
        <v>3</v>
      </c>
      <c r="E340" s="155">
        <v>4</v>
      </c>
      <c r="F340" s="155">
        <v>5</v>
      </c>
      <c r="G340" s="155">
        <v>6</v>
      </c>
      <c r="H340" s="155">
        <v>7</v>
      </c>
      <c r="I340" s="155">
        <v>8</v>
      </c>
      <c r="J340" s="155">
        <v>9</v>
      </c>
      <c r="K340" s="155">
        <v>10</v>
      </c>
      <c r="L340" s="155">
        <v>11</v>
      </c>
      <c r="M340" s="155">
        <v>12</v>
      </c>
      <c r="N340" s="155">
        <v>13</v>
      </c>
      <c r="O340" s="155">
        <v>14</v>
      </c>
      <c r="P340" s="155">
        <v>15</v>
      </c>
      <c r="Q340" s="155">
        <v>16</v>
      </c>
      <c r="R340" s="155">
        <v>17</v>
      </c>
      <c r="S340" s="155">
        <v>18</v>
      </c>
      <c r="T340" s="155">
        <v>19</v>
      </c>
      <c r="U340" s="155">
        <v>20</v>
      </c>
      <c r="V340" s="155">
        <v>21</v>
      </c>
    </row>
    <row r="341" spans="2:22" ht="31.5">
      <c r="B341" s="416">
        <v>1</v>
      </c>
      <c r="C341" s="164" t="s">
        <v>1036</v>
      </c>
      <c r="D341" s="155"/>
      <c r="E341" s="181">
        <f t="shared" ref="E341:R341" si="77">SUM(E342:E346)</f>
        <v>0</v>
      </c>
      <c r="F341" s="181">
        <f t="shared" si="77"/>
        <v>1270062.82</v>
      </c>
      <c r="G341" s="181">
        <f t="shared" si="77"/>
        <v>0</v>
      </c>
      <c r="H341" s="181">
        <f t="shared" si="77"/>
        <v>1284808.08</v>
      </c>
      <c r="I341" s="181">
        <f t="shared" si="77"/>
        <v>0</v>
      </c>
      <c r="J341" s="181">
        <f t="shared" si="77"/>
        <v>1425068.52</v>
      </c>
      <c r="K341" s="181">
        <f t="shared" si="77"/>
        <v>1481877.74</v>
      </c>
      <c r="L341" s="181">
        <f t="shared" si="77"/>
        <v>2073849</v>
      </c>
      <c r="M341" s="181">
        <f t="shared" si="77"/>
        <v>2154625</v>
      </c>
      <c r="N341" s="181">
        <f t="shared" si="77"/>
        <v>0</v>
      </c>
      <c r="O341" s="181">
        <f t="shared" si="77"/>
        <v>3121925</v>
      </c>
      <c r="P341" s="181">
        <f t="shared" si="77"/>
        <v>0</v>
      </c>
      <c r="Q341" s="181">
        <f t="shared" si="77"/>
        <v>3534294.0000000005</v>
      </c>
      <c r="R341" s="181">
        <f t="shared" si="77"/>
        <v>0</v>
      </c>
      <c r="S341" s="181">
        <f t="shared" ref="S341:S346" si="78">Q359</f>
        <v>4129072.5500000012</v>
      </c>
      <c r="T341" s="181">
        <f>SUM(T342:T346)</f>
        <v>0</v>
      </c>
      <c r="U341" s="181">
        <f>SUM(U342:U346)</f>
        <v>4748535.9200000009</v>
      </c>
      <c r="V341" s="181">
        <f>SUM(V342:V346)</f>
        <v>0</v>
      </c>
    </row>
    <row r="342" spans="2:22">
      <c r="B342" s="428" t="s">
        <v>24</v>
      </c>
      <c r="C342" s="32" t="s">
        <v>1037</v>
      </c>
      <c r="D342" s="16" t="s">
        <v>22</v>
      </c>
      <c r="E342" s="167"/>
      <c r="F342" s="167">
        <v>139845.46</v>
      </c>
      <c r="G342" s="167"/>
      <c r="H342" s="167">
        <v>170800.73</v>
      </c>
      <c r="I342" s="167"/>
      <c r="J342" s="167">
        <v>322673.86</v>
      </c>
      <c r="K342" s="167">
        <v>344315.39</v>
      </c>
      <c r="L342" s="167">
        <v>484871</v>
      </c>
      <c r="M342" s="167">
        <v>486036</v>
      </c>
      <c r="N342" s="167"/>
      <c r="O342" s="167">
        <f>M360</f>
        <v>548329</v>
      </c>
      <c r="P342" s="167"/>
      <c r="Q342" s="167">
        <f>O360</f>
        <v>611244.93000000005</v>
      </c>
      <c r="R342" s="167"/>
      <c r="S342" s="167">
        <f t="shared" si="78"/>
        <v>849147.01000000013</v>
      </c>
      <c r="T342" s="167"/>
      <c r="U342" s="167">
        <f>S360</f>
        <v>1089428.1100000001</v>
      </c>
      <c r="V342" s="167"/>
    </row>
    <row r="343" spans="2:22" ht="21">
      <c r="B343" s="334" t="s">
        <v>37</v>
      </c>
      <c r="C343" s="32" t="s">
        <v>1038</v>
      </c>
      <c r="D343" s="16" t="s">
        <v>22</v>
      </c>
      <c r="E343" s="167"/>
      <c r="F343" s="167">
        <v>1021375.54</v>
      </c>
      <c r="G343" s="167"/>
      <c r="H343" s="167">
        <v>1006366.78</v>
      </c>
      <c r="I343" s="167"/>
      <c r="J343" s="167">
        <v>993129.31</v>
      </c>
      <c r="K343" s="167">
        <v>1027106.88</v>
      </c>
      <c r="L343" s="167">
        <v>1474988</v>
      </c>
      <c r="M343" s="167">
        <v>1479050</v>
      </c>
      <c r="N343" s="167"/>
      <c r="O343" s="167">
        <v>2273820</v>
      </c>
      <c r="P343" s="167"/>
      <c r="Q343" s="167">
        <f>O361</f>
        <v>2614586.7000000002</v>
      </c>
      <c r="R343" s="167"/>
      <c r="S343" s="167">
        <f t="shared" si="78"/>
        <v>2962689.9300000006</v>
      </c>
      <c r="T343" s="167"/>
      <c r="U343" s="167">
        <f>S361</f>
        <v>3333011.2300000004</v>
      </c>
      <c r="V343" s="167"/>
    </row>
    <row r="344" spans="2:22">
      <c r="B344" s="428" t="s">
        <v>143</v>
      </c>
      <c r="C344" s="32" t="s">
        <v>1039</v>
      </c>
      <c r="D344" s="16" t="s">
        <v>22</v>
      </c>
      <c r="E344" s="167"/>
      <c r="F344" s="167">
        <v>108306.24000000001</v>
      </c>
      <c r="G344" s="167"/>
      <c r="H344" s="167">
        <v>107104.99</v>
      </c>
      <c r="I344" s="167"/>
      <c r="J344" s="167">
        <v>108729.77</v>
      </c>
      <c r="K344" s="167">
        <v>109919.89</v>
      </c>
      <c r="L344" s="167">
        <v>113396</v>
      </c>
      <c r="M344" s="167">
        <v>181738</v>
      </c>
      <c r="N344" s="167"/>
      <c r="O344" s="167">
        <v>284289</v>
      </c>
      <c r="P344" s="167"/>
      <c r="Q344" s="167">
        <f>O362</f>
        <v>285212.51</v>
      </c>
      <c r="R344" s="167"/>
      <c r="S344" s="167">
        <f t="shared" si="78"/>
        <v>286145.26</v>
      </c>
      <c r="T344" s="167"/>
      <c r="U344" s="167">
        <f>S362</f>
        <v>287087.32999999996</v>
      </c>
      <c r="V344" s="167"/>
    </row>
    <row r="345" spans="2:22">
      <c r="B345" s="428" t="s">
        <v>144</v>
      </c>
      <c r="C345" s="32" t="s">
        <v>1040</v>
      </c>
      <c r="D345" s="16" t="s">
        <v>22</v>
      </c>
      <c r="E345" s="167"/>
      <c r="F345" s="167">
        <v>492.83</v>
      </c>
      <c r="G345" s="167"/>
      <c r="H345" s="167">
        <v>492.83</v>
      </c>
      <c r="I345" s="167"/>
      <c r="J345" s="167">
        <v>492.83</v>
      </c>
      <c r="K345" s="167">
        <v>492.83</v>
      </c>
      <c r="L345" s="167">
        <v>493</v>
      </c>
      <c r="M345" s="167">
        <v>7700</v>
      </c>
      <c r="N345" s="167"/>
      <c r="O345" s="167">
        <f>M363</f>
        <v>14321</v>
      </c>
      <c r="P345" s="167"/>
      <c r="Q345" s="167">
        <f>O363</f>
        <v>21008.21</v>
      </c>
      <c r="R345" s="167"/>
      <c r="S345" s="167">
        <f t="shared" si="78"/>
        <v>27762.29</v>
      </c>
      <c r="T345" s="167"/>
      <c r="U345" s="167">
        <f>S363</f>
        <v>34583.910000000003</v>
      </c>
      <c r="V345" s="167"/>
    </row>
    <row r="346" spans="2:22">
      <c r="B346" s="428" t="s">
        <v>172</v>
      </c>
      <c r="C346" s="32" t="s">
        <v>300</v>
      </c>
      <c r="D346" s="16" t="s">
        <v>22</v>
      </c>
      <c r="E346" s="167"/>
      <c r="F346" s="167">
        <v>42.75</v>
      </c>
      <c r="G346" s="167"/>
      <c r="H346" s="167">
        <v>42.75</v>
      </c>
      <c r="I346" s="167"/>
      <c r="J346" s="167">
        <v>42.75</v>
      </c>
      <c r="K346" s="167">
        <v>42.75</v>
      </c>
      <c r="L346" s="167">
        <v>101</v>
      </c>
      <c r="M346" s="167">
        <v>101</v>
      </c>
      <c r="N346" s="167"/>
      <c r="O346" s="167">
        <f>M364</f>
        <v>1166</v>
      </c>
      <c r="P346" s="167"/>
      <c r="Q346" s="167">
        <f>O364</f>
        <v>2241.65</v>
      </c>
      <c r="R346" s="167"/>
      <c r="S346" s="167">
        <f t="shared" si="78"/>
        <v>3328.0600000000004</v>
      </c>
      <c r="T346" s="167"/>
      <c r="U346" s="167">
        <f>S364</f>
        <v>4425.34</v>
      </c>
      <c r="V346" s="167"/>
    </row>
    <row r="347" spans="2:22">
      <c r="B347" s="459" t="s">
        <v>196</v>
      </c>
      <c r="C347" s="164" t="s">
        <v>1041</v>
      </c>
      <c r="D347" s="426"/>
      <c r="E347" s="181">
        <f t="shared" ref="E347:V347" si="79">SUM(E348:E352)</f>
        <v>0</v>
      </c>
      <c r="F347" s="181">
        <f t="shared" si="79"/>
        <v>306115.64999999997</v>
      </c>
      <c r="G347" s="181">
        <f t="shared" si="79"/>
        <v>0</v>
      </c>
      <c r="H347" s="181">
        <f t="shared" si="79"/>
        <v>776422.64</v>
      </c>
      <c r="I347" s="181">
        <f t="shared" si="79"/>
        <v>0</v>
      </c>
      <c r="J347" s="181">
        <f t="shared" si="79"/>
        <v>724586.08000000007</v>
      </c>
      <c r="K347" s="181">
        <f t="shared" si="79"/>
        <v>2452838.63</v>
      </c>
      <c r="L347" s="181">
        <f t="shared" si="79"/>
        <v>124765</v>
      </c>
      <c r="M347" s="181">
        <f t="shared" si="79"/>
        <v>1874384</v>
      </c>
      <c r="N347" s="181">
        <f t="shared" si="79"/>
        <v>0</v>
      </c>
      <c r="O347" s="181">
        <f t="shared" si="79"/>
        <v>1328523.8399999999</v>
      </c>
      <c r="P347" s="181">
        <f t="shared" si="79"/>
        <v>0</v>
      </c>
      <c r="Q347" s="181">
        <f t="shared" si="79"/>
        <v>1520094.94</v>
      </c>
      <c r="R347" s="181">
        <f t="shared" si="79"/>
        <v>0</v>
      </c>
      <c r="S347" s="181">
        <f t="shared" si="79"/>
        <v>1554032.92</v>
      </c>
      <c r="T347" s="181">
        <f t="shared" si="79"/>
        <v>0</v>
      </c>
      <c r="U347" s="181">
        <f t="shared" si="79"/>
        <v>1569573.2499999998</v>
      </c>
      <c r="V347" s="181">
        <f t="shared" si="79"/>
        <v>0</v>
      </c>
    </row>
    <row r="348" spans="2:22">
      <c r="B348" s="428" t="s">
        <v>198</v>
      </c>
      <c r="C348" s="32" t="s">
        <v>1037</v>
      </c>
      <c r="D348" s="16" t="s">
        <v>22</v>
      </c>
      <c r="E348" s="167"/>
      <c r="F348" s="167">
        <v>30906.02</v>
      </c>
      <c r="G348" s="167"/>
      <c r="H348" s="167">
        <v>102414.78</v>
      </c>
      <c r="I348" s="167"/>
      <c r="J348" s="167">
        <v>113772.8</v>
      </c>
      <c r="K348" s="167">
        <v>1373653.76</v>
      </c>
      <c r="L348" s="167">
        <v>1225</v>
      </c>
      <c r="M348" s="167">
        <v>63518</v>
      </c>
      <c r="N348" s="167"/>
      <c r="O348" s="167">
        <v>64153.18</v>
      </c>
      <c r="P348" s="167"/>
      <c r="Q348" s="167">
        <v>239151.7</v>
      </c>
      <c r="R348" s="167"/>
      <c r="S348" s="167">
        <v>241543.22</v>
      </c>
      <c r="T348" s="167"/>
      <c r="U348" s="167">
        <v>243958.65</v>
      </c>
      <c r="V348" s="167"/>
    </row>
    <row r="349" spans="2:22" ht="21">
      <c r="B349" s="334" t="s">
        <v>202</v>
      </c>
      <c r="C349" s="32" t="s">
        <v>1038</v>
      </c>
      <c r="D349" s="16" t="s">
        <v>22</v>
      </c>
      <c r="E349" s="167"/>
      <c r="F349" s="167">
        <v>274197.40999999997</v>
      </c>
      <c r="G349" s="167"/>
      <c r="H349" s="167">
        <v>671867.42</v>
      </c>
      <c r="I349" s="167"/>
      <c r="J349" s="167">
        <v>605194.13</v>
      </c>
      <c r="K349" s="167">
        <v>1077001.4099999999</v>
      </c>
      <c r="L349" s="167">
        <v>53869</v>
      </c>
      <c r="M349" s="167">
        <v>1700527</v>
      </c>
      <c r="N349" s="167"/>
      <c r="O349" s="167">
        <v>1255581.27</v>
      </c>
      <c r="P349" s="167"/>
      <c r="Q349" s="167">
        <v>1272065.95</v>
      </c>
      <c r="R349" s="167"/>
      <c r="S349" s="167">
        <v>1303523.6399999999</v>
      </c>
      <c r="T349" s="167"/>
      <c r="U349" s="167">
        <v>1316558.8799999999</v>
      </c>
      <c r="V349" s="167"/>
    </row>
    <row r="350" spans="2:22">
      <c r="B350" s="428" t="s">
        <v>206</v>
      </c>
      <c r="C350" s="32" t="s">
        <v>1039</v>
      </c>
      <c r="D350" s="16" t="s">
        <v>22</v>
      </c>
      <c r="E350" s="167"/>
      <c r="F350" s="167">
        <v>1012.22</v>
      </c>
      <c r="G350" s="167"/>
      <c r="H350" s="167">
        <v>2140.44</v>
      </c>
      <c r="I350" s="167"/>
      <c r="J350" s="167">
        <v>5560.67</v>
      </c>
      <c r="K350" s="167">
        <v>2183.46</v>
      </c>
      <c r="L350" s="167">
        <v>69671</v>
      </c>
      <c r="M350" s="167">
        <v>102653</v>
      </c>
      <c r="N350" s="167"/>
      <c r="O350" s="167">
        <v>1026.53</v>
      </c>
      <c r="P350" s="167"/>
      <c r="Q350" s="167">
        <v>1036.8</v>
      </c>
      <c r="R350" s="167"/>
      <c r="S350" s="167">
        <v>1047.1600000000001</v>
      </c>
      <c r="T350" s="167"/>
      <c r="U350" s="167">
        <v>1057.6300000000001</v>
      </c>
      <c r="V350" s="167"/>
    </row>
    <row r="351" spans="2:22">
      <c r="B351" s="428" t="s">
        <v>572</v>
      </c>
      <c r="C351" s="32" t="s">
        <v>1040</v>
      </c>
      <c r="D351" s="16" t="s">
        <v>22</v>
      </c>
      <c r="E351" s="167"/>
      <c r="F351" s="167"/>
      <c r="G351" s="167"/>
      <c r="H351" s="167">
        <v>0</v>
      </c>
      <c r="I351" s="167"/>
      <c r="J351" s="167">
        <v>0</v>
      </c>
      <c r="K351" s="167">
        <v>0</v>
      </c>
      <c r="L351" s="167">
        <v>0</v>
      </c>
      <c r="M351" s="167">
        <v>6621</v>
      </c>
      <c r="N351" s="167"/>
      <c r="O351" s="167">
        <v>6687.21</v>
      </c>
      <c r="P351" s="167"/>
      <c r="Q351" s="167">
        <v>6754.08</v>
      </c>
      <c r="R351" s="167"/>
      <c r="S351" s="167">
        <v>6821.62</v>
      </c>
      <c r="T351" s="167"/>
      <c r="U351" s="167">
        <v>6889.84</v>
      </c>
      <c r="V351" s="167"/>
    </row>
    <row r="352" spans="2:22">
      <c r="B352" s="428" t="s">
        <v>574</v>
      </c>
      <c r="C352" s="32" t="s">
        <v>300</v>
      </c>
      <c r="D352" s="16" t="s">
        <v>22</v>
      </c>
      <c r="E352" s="167"/>
      <c r="F352" s="167"/>
      <c r="G352" s="167"/>
      <c r="H352" s="167">
        <v>0</v>
      </c>
      <c r="I352" s="167"/>
      <c r="J352" s="167">
        <v>58.48</v>
      </c>
      <c r="K352" s="167">
        <v>0</v>
      </c>
      <c r="L352" s="167">
        <v>0</v>
      </c>
      <c r="M352" s="167">
        <v>1065</v>
      </c>
      <c r="N352" s="167"/>
      <c r="O352" s="167">
        <v>1075.6500000000001</v>
      </c>
      <c r="P352" s="167"/>
      <c r="Q352" s="167">
        <v>1086.4100000000001</v>
      </c>
      <c r="R352" s="167"/>
      <c r="S352" s="167">
        <v>1097.28</v>
      </c>
      <c r="T352" s="167"/>
      <c r="U352" s="167">
        <v>1108.25</v>
      </c>
      <c r="V352" s="167"/>
    </row>
    <row r="353" spans="2:23">
      <c r="B353" s="458">
        <v>3</v>
      </c>
      <c r="C353" s="164" t="s">
        <v>1042</v>
      </c>
      <c r="D353" s="16" t="s">
        <v>22</v>
      </c>
      <c r="E353" s="181">
        <f t="shared" ref="E353:V353" si="80">SUM(E354:E358)</f>
        <v>0</v>
      </c>
      <c r="F353" s="181">
        <f t="shared" si="80"/>
        <v>7160.5500000000011</v>
      </c>
      <c r="G353" s="181">
        <f t="shared" si="80"/>
        <v>0</v>
      </c>
      <c r="H353" s="181">
        <f t="shared" si="80"/>
        <v>705272.57</v>
      </c>
      <c r="I353" s="181">
        <f t="shared" si="80"/>
        <v>0</v>
      </c>
      <c r="J353" s="181">
        <f t="shared" si="80"/>
        <v>131080.43</v>
      </c>
      <c r="K353" s="181">
        <f t="shared" si="80"/>
        <v>719448.53999999992</v>
      </c>
      <c r="L353" s="181">
        <f t="shared" si="80"/>
        <v>51111</v>
      </c>
      <c r="M353" s="181">
        <f t="shared" si="80"/>
        <v>907084</v>
      </c>
      <c r="N353" s="181">
        <f t="shared" si="80"/>
        <v>0</v>
      </c>
      <c r="O353" s="181">
        <f t="shared" si="80"/>
        <v>916154.84</v>
      </c>
      <c r="P353" s="181">
        <f t="shared" si="80"/>
        <v>0</v>
      </c>
      <c r="Q353" s="181">
        <f t="shared" si="80"/>
        <v>925316.39</v>
      </c>
      <c r="R353" s="181">
        <f t="shared" si="80"/>
        <v>0</v>
      </c>
      <c r="S353" s="181">
        <f t="shared" si="80"/>
        <v>934569.54999999993</v>
      </c>
      <c r="T353" s="181">
        <f t="shared" si="80"/>
        <v>0</v>
      </c>
      <c r="U353" s="181">
        <f t="shared" si="80"/>
        <v>943902.63</v>
      </c>
      <c r="V353" s="181">
        <f t="shared" si="80"/>
        <v>0</v>
      </c>
    </row>
    <row r="354" spans="2:23">
      <c r="B354" s="428" t="s">
        <v>226</v>
      </c>
      <c r="C354" s="32" t="s">
        <v>1037</v>
      </c>
      <c r="D354" s="16" t="s">
        <v>22</v>
      </c>
      <c r="E354" s="167"/>
      <c r="F354" s="167">
        <v>89.52</v>
      </c>
      <c r="G354" s="167"/>
      <c r="H354" s="167">
        <v>16089.08</v>
      </c>
      <c r="I354" s="167"/>
      <c r="J354" s="167">
        <v>26731.62</v>
      </c>
      <c r="K354" s="167">
        <v>16412.47</v>
      </c>
      <c r="L354" s="167">
        <v>60</v>
      </c>
      <c r="M354" s="167">
        <v>1225</v>
      </c>
      <c r="N354" s="167"/>
      <c r="O354" s="167">
        <v>1237.25</v>
      </c>
      <c r="P354" s="167"/>
      <c r="Q354" s="167">
        <v>1249.6199999999999</v>
      </c>
      <c r="R354" s="167"/>
      <c r="S354" s="167">
        <v>1262.1199999999999</v>
      </c>
      <c r="T354" s="167"/>
      <c r="U354" s="167">
        <v>1262.1199999999999</v>
      </c>
      <c r="V354" s="167"/>
    </row>
    <row r="355" spans="2:23" ht="21">
      <c r="B355" s="334" t="s">
        <v>244</v>
      </c>
      <c r="C355" s="32" t="s">
        <v>1038</v>
      </c>
      <c r="D355" s="16" t="s">
        <v>22</v>
      </c>
      <c r="E355" s="167"/>
      <c r="F355" s="167">
        <v>4857.5600000000004</v>
      </c>
      <c r="G355" s="167"/>
      <c r="H355" s="167">
        <v>688443.5</v>
      </c>
      <c r="I355" s="167"/>
      <c r="J355" s="167">
        <v>103509.17</v>
      </c>
      <c r="K355" s="167">
        <v>702281.21</v>
      </c>
      <c r="L355" s="167">
        <v>49722</v>
      </c>
      <c r="M355" s="167">
        <v>905757</v>
      </c>
      <c r="N355" s="167"/>
      <c r="O355" s="167">
        <v>914814.57</v>
      </c>
      <c r="P355" s="167"/>
      <c r="Q355" s="167">
        <v>923962.72</v>
      </c>
      <c r="R355" s="167"/>
      <c r="S355" s="167">
        <v>933202.34</v>
      </c>
      <c r="T355" s="167"/>
      <c r="U355" s="167">
        <v>942534.37</v>
      </c>
      <c r="V355" s="167"/>
    </row>
    <row r="356" spans="2:23">
      <c r="B356" s="428" t="s">
        <v>263</v>
      </c>
      <c r="C356" s="32" t="s">
        <v>1039</v>
      </c>
      <c r="D356" s="16" t="s">
        <v>22</v>
      </c>
      <c r="E356" s="167"/>
      <c r="F356" s="167">
        <v>2213.4699999999998</v>
      </c>
      <c r="G356" s="167"/>
      <c r="H356" s="167">
        <v>739.99</v>
      </c>
      <c r="I356" s="167"/>
      <c r="J356" s="167">
        <v>839.64</v>
      </c>
      <c r="K356" s="167">
        <v>754.86</v>
      </c>
      <c r="L356" s="167">
        <v>1329</v>
      </c>
      <c r="M356" s="167">
        <v>102</v>
      </c>
      <c r="N356" s="167"/>
      <c r="O356" s="167">
        <v>103.02</v>
      </c>
      <c r="P356" s="167"/>
      <c r="Q356" s="167">
        <v>104.05</v>
      </c>
      <c r="R356" s="167"/>
      <c r="S356" s="167">
        <v>105.09</v>
      </c>
      <c r="T356" s="167"/>
      <c r="U356" s="167">
        <v>106.14</v>
      </c>
      <c r="V356" s="167"/>
    </row>
    <row r="357" spans="2:23">
      <c r="B357" s="428" t="s">
        <v>264</v>
      </c>
      <c r="C357" s="32" t="s">
        <v>1040</v>
      </c>
      <c r="D357" s="16" t="s">
        <v>22</v>
      </c>
      <c r="E357" s="167"/>
      <c r="F357" s="167"/>
      <c r="G357" s="167"/>
      <c r="H357" s="167"/>
      <c r="I357" s="167"/>
      <c r="J357" s="167">
        <v>0</v>
      </c>
      <c r="K357" s="167">
        <v>0</v>
      </c>
      <c r="L357" s="167">
        <v>0</v>
      </c>
      <c r="M357" s="167">
        <v>0</v>
      </c>
      <c r="N357" s="167"/>
      <c r="O357" s="167">
        <v>0</v>
      </c>
      <c r="P357" s="167"/>
      <c r="Q357" s="167">
        <v>0</v>
      </c>
      <c r="R357" s="167"/>
      <c r="S357" s="167">
        <v>0</v>
      </c>
      <c r="T357" s="167"/>
      <c r="U357" s="167">
        <v>0</v>
      </c>
      <c r="V357" s="167"/>
    </row>
    <row r="358" spans="2:23">
      <c r="B358" s="428" t="s">
        <v>266</v>
      </c>
      <c r="C358" s="32" t="s">
        <v>300</v>
      </c>
      <c r="D358" s="16" t="s">
        <v>22</v>
      </c>
      <c r="E358" s="167"/>
      <c r="F358" s="167"/>
      <c r="G358" s="167"/>
      <c r="H358" s="167"/>
      <c r="I358" s="167"/>
      <c r="J358" s="167">
        <v>0</v>
      </c>
      <c r="K358" s="167">
        <v>0</v>
      </c>
      <c r="L358" s="167">
        <v>0</v>
      </c>
      <c r="M358" s="167">
        <v>0</v>
      </c>
      <c r="N358" s="167"/>
      <c r="O358" s="167"/>
      <c r="P358" s="167"/>
      <c r="Q358" s="167"/>
      <c r="R358" s="167"/>
      <c r="S358" s="167"/>
      <c r="T358" s="167"/>
      <c r="U358" s="167"/>
      <c r="V358" s="167"/>
    </row>
    <row r="359" spans="2:23" ht="31.5">
      <c r="B359" s="458">
        <v>4</v>
      </c>
      <c r="C359" s="164" t="s">
        <v>1043</v>
      </c>
      <c r="D359" s="16"/>
      <c r="E359" s="181">
        <f t="shared" ref="E359:V359" si="81">SUM(E360:E364)</f>
        <v>0</v>
      </c>
      <c r="F359" s="181">
        <f t="shared" si="81"/>
        <v>1569017.92</v>
      </c>
      <c r="G359" s="181">
        <f t="shared" si="81"/>
        <v>0</v>
      </c>
      <c r="H359" s="181">
        <f t="shared" si="81"/>
        <v>1355958.15</v>
      </c>
      <c r="I359" s="181">
        <f t="shared" si="81"/>
        <v>0</v>
      </c>
      <c r="J359" s="181">
        <f t="shared" si="81"/>
        <v>2008566.11</v>
      </c>
      <c r="K359" s="181">
        <f t="shared" si="81"/>
        <v>3215267.83</v>
      </c>
      <c r="L359" s="181">
        <f t="shared" si="81"/>
        <v>2147503</v>
      </c>
      <c r="M359" s="181">
        <f>SUM(M360:M364)</f>
        <v>3121925</v>
      </c>
      <c r="N359" s="181">
        <f t="shared" si="81"/>
        <v>0</v>
      </c>
      <c r="O359" s="181">
        <f t="shared" si="81"/>
        <v>3534294.0000000005</v>
      </c>
      <c r="P359" s="181">
        <f t="shared" si="81"/>
        <v>0</v>
      </c>
      <c r="Q359" s="181">
        <f t="shared" si="81"/>
        <v>4129072.5500000012</v>
      </c>
      <c r="R359" s="181">
        <f t="shared" si="81"/>
        <v>0</v>
      </c>
      <c r="S359" s="181">
        <f t="shared" si="81"/>
        <v>4748535.9200000009</v>
      </c>
      <c r="T359" s="181">
        <f t="shared" si="81"/>
        <v>0</v>
      </c>
      <c r="U359" s="181">
        <f t="shared" si="81"/>
        <v>5374206.54</v>
      </c>
      <c r="V359" s="181">
        <f t="shared" si="81"/>
        <v>0</v>
      </c>
    </row>
    <row r="360" spans="2:23">
      <c r="B360" s="428" t="s">
        <v>286</v>
      </c>
      <c r="C360" s="32" t="s">
        <v>1037</v>
      </c>
      <c r="D360" s="16" t="s">
        <v>22</v>
      </c>
      <c r="E360" s="167"/>
      <c r="F360" s="167">
        <v>170661.96</v>
      </c>
      <c r="G360" s="167"/>
      <c r="H360" s="167">
        <v>257126.43</v>
      </c>
      <c r="I360" s="167"/>
      <c r="J360" s="167">
        <v>409715.04</v>
      </c>
      <c r="K360" s="167">
        <v>1701556.68</v>
      </c>
      <c r="L360" s="167">
        <v>486036</v>
      </c>
      <c r="M360" s="167">
        <v>548329</v>
      </c>
      <c r="N360" s="167">
        <f t="shared" ref="L360:V364" si="82">N342+N348-N354</f>
        <v>0</v>
      </c>
      <c r="O360" s="167">
        <v>611244.93000000005</v>
      </c>
      <c r="P360" s="167">
        <f t="shared" si="82"/>
        <v>0</v>
      </c>
      <c r="Q360" s="167">
        <f t="shared" si="82"/>
        <v>849147.01000000013</v>
      </c>
      <c r="R360" s="167">
        <f t="shared" si="82"/>
        <v>0</v>
      </c>
      <c r="S360" s="167">
        <f t="shared" si="82"/>
        <v>1089428.1100000001</v>
      </c>
      <c r="T360" s="167">
        <f t="shared" si="82"/>
        <v>0</v>
      </c>
      <c r="U360" s="167">
        <f t="shared" si="82"/>
        <v>1332124.6399999999</v>
      </c>
      <c r="V360" s="167">
        <f t="shared" si="82"/>
        <v>0</v>
      </c>
    </row>
    <row r="361" spans="2:23" ht="21">
      <c r="B361" s="428" t="s">
        <v>1014</v>
      </c>
      <c r="C361" s="32" t="s">
        <v>1038</v>
      </c>
      <c r="D361" s="16" t="s">
        <v>22</v>
      </c>
      <c r="E361" s="167"/>
      <c r="F361" s="167">
        <v>1290715.3899999999</v>
      </c>
      <c r="G361" s="167"/>
      <c r="H361" s="167">
        <v>989790.7</v>
      </c>
      <c r="I361" s="167"/>
      <c r="J361" s="167">
        <v>1484861.85</v>
      </c>
      <c r="K361" s="167">
        <v>1401827.08</v>
      </c>
      <c r="L361" s="167">
        <v>1479135</v>
      </c>
      <c r="M361" s="167">
        <v>2273820</v>
      </c>
      <c r="N361" s="167">
        <f t="shared" si="82"/>
        <v>0</v>
      </c>
      <c r="O361" s="167">
        <v>2614586.7000000002</v>
      </c>
      <c r="P361" s="167">
        <f t="shared" si="82"/>
        <v>0</v>
      </c>
      <c r="Q361" s="167">
        <f t="shared" si="82"/>
        <v>2962689.9300000006</v>
      </c>
      <c r="R361" s="167">
        <f t="shared" si="82"/>
        <v>0</v>
      </c>
      <c r="S361" s="167">
        <f t="shared" si="82"/>
        <v>3333011.2300000004</v>
      </c>
      <c r="T361" s="167">
        <f t="shared" si="82"/>
        <v>0</v>
      </c>
      <c r="U361" s="167">
        <f>U343+U349-U355-0.01</f>
        <v>3707035.7300000004</v>
      </c>
      <c r="V361" s="167">
        <f t="shared" si="82"/>
        <v>0</v>
      </c>
    </row>
    <row r="362" spans="2:23">
      <c r="B362" s="428" t="s">
        <v>1016</v>
      </c>
      <c r="C362" s="32" t="s">
        <v>1039</v>
      </c>
      <c r="D362" s="16" t="s">
        <v>22</v>
      </c>
      <c r="E362" s="167"/>
      <c r="F362" s="167">
        <v>107104.99</v>
      </c>
      <c r="G362" s="167"/>
      <c r="H362" s="167">
        <v>108505.44</v>
      </c>
      <c r="I362" s="167"/>
      <c r="J362" s="167">
        <v>113395.74</v>
      </c>
      <c r="K362" s="167">
        <v>111348.49</v>
      </c>
      <c r="L362" s="167">
        <f t="shared" si="82"/>
        <v>181738</v>
      </c>
      <c r="M362" s="167">
        <v>284289</v>
      </c>
      <c r="N362" s="167">
        <f t="shared" si="82"/>
        <v>0</v>
      </c>
      <c r="O362" s="167">
        <f t="shared" si="82"/>
        <v>285212.51</v>
      </c>
      <c r="P362" s="167">
        <f t="shared" si="82"/>
        <v>0</v>
      </c>
      <c r="Q362" s="167">
        <f t="shared" si="82"/>
        <v>286145.26</v>
      </c>
      <c r="R362" s="167">
        <f t="shared" si="82"/>
        <v>0</v>
      </c>
      <c r="S362" s="167">
        <f t="shared" si="82"/>
        <v>287087.32999999996</v>
      </c>
      <c r="T362" s="167">
        <f t="shared" si="82"/>
        <v>0</v>
      </c>
      <c r="U362" s="167">
        <f t="shared" si="82"/>
        <v>288038.81999999995</v>
      </c>
      <c r="V362" s="167">
        <f t="shared" si="82"/>
        <v>0</v>
      </c>
    </row>
    <row r="363" spans="2:23">
      <c r="B363" s="428" t="s">
        <v>1017</v>
      </c>
      <c r="C363" s="32" t="s">
        <v>1040</v>
      </c>
      <c r="D363" s="16" t="s">
        <v>22</v>
      </c>
      <c r="E363" s="167"/>
      <c r="F363" s="167">
        <v>492.83</v>
      </c>
      <c r="G363" s="167"/>
      <c r="H363" s="167">
        <v>492.83</v>
      </c>
      <c r="I363" s="167"/>
      <c r="J363" s="167">
        <v>492.83</v>
      </c>
      <c r="K363" s="167">
        <v>492.83</v>
      </c>
      <c r="L363" s="167">
        <f t="shared" si="82"/>
        <v>493</v>
      </c>
      <c r="M363" s="167">
        <v>14321</v>
      </c>
      <c r="N363" s="167">
        <f t="shared" si="82"/>
        <v>0</v>
      </c>
      <c r="O363" s="167">
        <f t="shared" si="82"/>
        <v>21008.21</v>
      </c>
      <c r="P363" s="167">
        <f t="shared" si="82"/>
        <v>0</v>
      </c>
      <c r="Q363" s="167">
        <f t="shared" si="82"/>
        <v>27762.29</v>
      </c>
      <c r="R363" s="167">
        <f t="shared" si="82"/>
        <v>0</v>
      </c>
      <c r="S363" s="167">
        <f t="shared" si="82"/>
        <v>34583.910000000003</v>
      </c>
      <c r="T363" s="167">
        <f t="shared" si="82"/>
        <v>0</v>
      </c>
      <c r="U363" s="167">
        <f t="shared" si="82"/>
        <v>41473.75</v>
      </c>
      <c r="V363" s="167">
        <f t="shared" si="82"/>
        <v>0</v>
      </c>
    </row>
    <row r="364" spans="2:23">
      <c r="B364" s="428" t="s">
        <v>1019</v>
      </c>
      <c r="C364" s="32" t="s">
        <v>300</v>
      </c>
      <c r="D364" s="16" t="s">
        <v>22</v>
      </c>
      <c r="E364" s="167"/>
      <c r="F364" s="167">
        <v>42.75</v>
      </c>
      <c r="G364" s="167"/>
      <c r="H364" s="167">
        <v>42.75</v>
      </c>
      <c r="I364" s="167"/>
      <c r="J364" s="167">
        <v>100.65</v>
      </c>
      <c r="K364" s="167">
        <v>42.75</v>
      </c>
      <c r="L364" s="167">
        <f t="shared" si="82"/>
        <v>101</v>
      </c>
      <c r="M364" s="167">
        <v>1166</v>
      </c>
      <c r="N364" s="167">
        <f t="shared" si="82"/>
        <v>0</v>
      </c>
      <c r="O364" s="167">
        <f t="shared" si="82"/>
        <v>2241.65</v>
      </c>
      <c r="P364" s="167">
        <f t="shared" si="82"/>
        <v>0</v>
      </c>
      <c r="Q364" s="167">
        <f t="shared" si="82"/>
        <v>3328.0600000000004</v>
      </c>
      <c r="R364" s="167">
        <f t="shared" si="82"/>
        <v>0</v>
      </c>
      <c r="S364" s="167">
        <f t="shared" si="82"/>
        <v>4425.34</v>
      </c>
      <c r="T364" s="167">
        <f t="shared" si="82"/>
        <v>0</v>
      </c>
      <c r="U364" s="167">
        <f>U346+U352-U358+0.01</f>
        <v>5533.6</v>
      </c>
      <c r="V364" s="167">
        <f t="shared" si="82"/>
        <v>0</v>
      </c>
    </row>
    <row r="365" spans="2:23">
      <c r="B365" s="459" t="s">
        <v>585</v>
      </c>
      <c r="C365" s="164" t="s">
        <v>1044</v>
      </c>
      <c r="D365" s="16"/>
      <c r="E365" s="181">
        <f t="shared" ref="E365:V365" si="83">SUM(E366:E370)</f>
        <v>0</v>
      </c>
      <c r="F365" s="181">
        <f t="shared" si="83"/>
        <v>409.69</v>
      </c>
      <c r="G365" s="181">
        <f t="shared" si="83"/>
        <v>0</v>
      </c>
      <c r="H365" s="181">
        <f t="shared" si="83"/>
        <v>754322.07</v>
      </c>
      <c r="I365" s="181">
        <f t="shared" si="83"/>
        <v>0</v>
      </c>
      <c r="J365" s="181">
        <f t="shared" si="83"/>
        <v>1396349.0899999999</v>
      </c>
      <c r="K365" s="181">
        <f t="shared" si="83"/>
        <v>2413527.2600000002</v>
      </c>
      <c r="L365" s="181">
        <f t="shared" si="83"/>
        <v>1523797</v>
      </c>
      <c r="M365" s="181">
        <f t="shared" si="83"/>
        <v>2080935</v>
      </c>
      <c r="N365" s="181">
        <f t="shared" si="83"/>
        <v>0</v>
      </c>
      <c r="O365" s="181">
        <f t="shared" si="83"/>
        <v>3072101.0799999996</v>
      </c>
      <c r="P365" s="181">
        <f t="shared" si="83"/>
        <v>0</v>
      </c>
      <c r="Q365" s="181">
        <f t="shared" si="83"/>
        <v>3536938.4076923081</v>
      </c>
      <c r="R365" s="181">
        <f t="shared" si="83"/>
        <v>0</v>
      </c>
      <c r="S365" s="181">
        <f t="shared" si="83"/>
        <v>4097357.7453846163</v>
      </c>
      <c r="T365" s="181">
        <f t="shared" si="83"/>
        <v>0</v>
      </c>
      <c r="U365" s="181">
        <f t="shared" si="83"/>
        <v>4672034.9815384625</v>
      </c>
      <c r="V365" s="181">
        <f t="shared" si="83"/>
        <v>0</v>
      </c>
    </row>
    <row r="366" spans="2:23">
      <c r="B366" s="428" t="s">
        <v>290</v>
      </c>
      <c r="C366" s="1091" t="s">
        <v>1037</v>
      </c>
      <c r="D366" s="16" t="s">
        <v>22</v>
      </c>
      <c r="E366" s="167"/>
      <c r="F366" s="167">
        <v>53.65</v>
      </c>
      <c r="G366" s="167"/>
      <c r="H366" s="167">
        <v>155701.10999999999</v>
      </c>
      <c r="I366" s="167"/>
      <c r="J366" s="167">
        <v>332913.38</v>
      </c>
      <c r="K366" s="167">
        <v>1428011.14</v>
      </c>
      <c r="L366" s="167">
        <v>380019</v>
      </c>
      <c r="M366" s="167">
        <v>386921</v>
      </c>
      <c r="N366" s="167"/>
      <c r="O366" s="167">
        <v>535187.97</v>
      </c>
      <c r="P366" s="167"/>
      <c r="Q366" s="167">
        <f>(Q342/2+Q360/2)*12/13</f>
        <v>674027.04923076928</v>
      </c>
      <c r="R366" s="167"/>
      <c r="S366" s="167">
        <f>(S342/2+S360/2)*12/13</f>
        <v>894726.97846153856</v>
      </c>
      <c r="T366" s="167"/>
      <c r="U366" s="167">
        <f>(U342/2+U360/2)*12/13</f>
        <v>1117639.7307692308</v>
      </c>
      <c r="V366" s="167"/>
      <c r="W366" s="1090"/>
    </row>
    <row r="367" spans="2:23" ht="21">
      <c r="B367" s="428" t="s">
        <v>1045</v>
      </c>
      <c r="C367" s="1091" t="s">
        <v>1038</v>
      </c>
      <c r="D367" s="16" t="s">
        <v>22</v>
      </c>
      <c r="E367" s="167"/>
      <c r="F367" s="167">
        <v>70.81</v>
      </c>
      <c r="G367" s="167"/>
      <c r="H367" s="167">
        <v>570481.94999999995</v>
      </c>
      <c r="I367" s="167"/>
      <c r="J367" s="167">
        <v>1036317</v>
      </c>
      <c r="K367" s="167">
        <v>956811.52</v>
      </c>
      <c r="L367" s="167">
        <v>1104897</v>
      </c>
      <c r="M367" s="167">
        <v>1574412</v>
      </c>
      <c r="N367" s="167"/>
      <c r="O367" s="167">
        <v>2256187.71</v>
      </c>
      <c r="P367" s="167"/>
      <c r="Q367" s="167">
        <f>(Q343/2+Q361/2)*12/13</f>
        <v>2574127.6753846155</v>
      </c>
      <c r="R367" s="167"/>
      <c r="S367" s="167">
        <f>(S343/2+S361/2)*12/13</f>
        <v>2905708.2276923084</v>
      </c>
      <c r="T367" s="167"/>
      <c r="U367" s="167">
        <f>(U343/2+U361/2)*12/13</f>
        <v>3249252.4430769235</v>
      </c>
      <c r="V367" s="167"/>
      <c r="W367" s="1090" t="s">
        <v>1391</v>
      </c>
    </row>
    <row r="368" spans="2:23">
      <c r="B368" s="428" t="s">
        <v>1046</v>
      </c>
      <c r="C368" s="1091" t="s">
        <v>1039</v>
      </c>
      <c r="D368" s="16" t="s">
        <v>22</v>
      </c>
      <c r="E368" s="167"/>
      <c r="F368" s="167">
        <v>85.23</v>
      </c>
      <c r="G368" s="167"/>
      <c r="H368" s="167">
        <v>28139.01</v>
      </c>
      <c r="I368" s="167"/>
      <c r="J368" s="167">
        <v>27083.33</v>
      </c>
      <c r="K368" s="167">
        <v>28704.6</v>
      </c>
      <c r="L368" s="167">
        <v>38863</v>
      </c>
      <c r="M368" s="167">
        <v>112162</v>
      </c>
      <c r="N368" s="167"/>
      <c r="O368" s="167">
        <v>262846.84999999998</v>
      </c>
      <c r="P368" s="167"/>
      <c r="Q368" s="167">
        <f>(Q344/2+Q362/2)*12/13</f>
        <v>263703.58615384618</v>
      </c>
      <c r="R368" s="167"/>
      <c r="S368" s="167">
        <f>(S344/2+S362/2)*12/13</f>
        <v>264568.8876923077</v>
      </c>
      <c r="T368" s="167"/>
      <c r="U368" s="167">
        <f>(U344/2+U362/2)*12/13</f>
        <v>265442.83846153843</v>
      </c>
      <c r="V368" s="167"/>
      <c r="W368" s="1090"/>
    </row>
    <row r="369" spans="2:23">
      <c r="B369" s="428" t="s">
        <v>1047</v>
      </c>
      <c r="C369" s="1091" t="s">
        <v>1040</v>
      </c>
      <c r="D369" s="16" t="s">
        <v>22</v>
      </c>
      <c r="E369" s="167"/>
      <c r="F369" s="167">
        <v>100</v>
      </c>
      <c r="G369" s="167"/>
      <c r="H369" s="167"/>
      <c r="I369" s="167"/>
      <c r="J369" s="167">
        <v>0</v>
      </c>
      <c r="K369" s="167">
        <v>0</v>
      </c>
      <c r="L369" s="167">
        <v>0</v>
      </c>
      <c r="M369" s="167">
        <v>7250</v>
      </c>
      <c r="N369" s="167"/>
      <c r="O369" s="167">
        <v>16305.79</v>
      </c>
      <c r="P369" s="167"/>
      <c r="Q369" s="167">
        <f>(Q345/2+Q363/2)*12/13</f>
        <v>22509.461538461539</v>
      </c>
      <c r="R369" s="167"/>
      <c r="S369" s="167">
        <f>(S345/2+S363/2)*12/13</f>
        <v>28775.169230769232</v>
      </c>
      <c r="T369" s="167"/>
      <c r="U369" s="167">
        <f>(U345/2+U363/2)*12/13</f>
        <v>35103.535384615388</v>
      </c>
      <c r="V369" s="167"/>
      <c r="W369" s="1090"/>
    </row>
    <row r="370" spans="2:23">
      <c r="B370" s="428" t="s">
        <v>1048</v>
      </c>
      <c r="C370" s="32" t="s">
        <v>300</v>
      </c>
      <c r="D370" s="16" t="s">
        <v>22</v>
      </c>
      <c r="E370" s="167"/>
      <c r="F370" s="167">
        <v>100</v>
      </c>
      <c r="G370" s="167"/>
      <c r="H370" s="167"/>
      <c r="I370" s="167"/>
      <c r="J370" s="167">
        <v>35.380000000000003</v>
      </c>
      <c r="K370" s="167"/>
      <c r="L370" s="167">
        <v>18</v>
      </c>
      <c r="M370" s="167">
        <v>190</v>
      </c>
      <c r="N370" s="167"/>
      <c r="O370" s="167">
        <v>1572.76</v>
      </c>
      <c r="P370" s="167"/>
      <c r="Q370" s="167">
        <f>(Q346/2+Q364/2)*12/13</f>
        <v>2570.6353846153852</v>
      </c>
      <c r="R370" s="167"/>
      <c r="S370" s="167">
        <f>(S346/2+S364/2)*12/13-0.01</f>
        <v>3578.4823076923076</v>
      </c>
      <c r="T370" s="167"/>
      <c r="U370" s="167">
        <f>(U346/2+U364/2)*12/13</f>
        <v>4596.4338461538464</v>
      </c>
      <c r="V370" s="167"/>
      <c r="W370" s="1090"/>
    </row>
    <row r="371" spans="2:23" ht="21">
      <c r="B371" s="416">
        <v>6</v>
      </c>
      <c r="C371" s="164" t="s">
        <v>1049</v>
      </c>
      <c r="D371" s="16" t="s">
        <v>353</v>
      </c>
      <c r="E371" s="181">
        <f t="shared" ref="E371:V371" si="84">SUM(E372:E376)</f>
        <v>0</v>
      </c>
      <c r="F371" s="181">
        <f t="shared" si="84"/>
        <v>51827.579999999994</v>
      </c>
      <c r="G371" s="181">
        <f t="shared" si="84"/>
        <v>0</v>
      </c>
      <c r="H371" s="181">
        <f t="shared" si="84"/>
        <v>362.25</v>
      </c>
      <c r="I371" s="181">
        <f t="shared" si="84"/>
        <v>0</v>
      </c>
      <c r="J371" s="181">
        <f t="shared" si="84"/>
        <v>393.32</v>
      </c>
      <c r="K371" s="181">
        <f t="shared" si="84"/>
        <v>367.3</v>
      </c>
      <c r="L371" s="181">
        <f t="shared" si="84"/>
        <v>381.65</v>
      </c>
      <c r="M371" s="181">
        <f t="shared" si="84"/>
        <v>235.17999999999998</v>
      </c>
      <c r="N371" s="181">
        <f t="shared" si="84"/>
        <v>0</v>
      </c>
      <c r="O371" s="181">
        <f t="shared" si="84"/>
        <v>237.53</v>
      </c>
      <c r="P371" s="181">
        <f t="shared" si="84"/>
        <v>0</v>
      </c>
      <c r="Q371" s="181">
        <f t="shared" si="84"/>
        <v>239.91</v>
      </c>
      <c r="R371" s="181">
        <f t="shared" si="84"/>
        <v>0</v>
      </c>
      <c r="S371" s="181">
        <f t="shared" si="84"/>
        <v>242.31</v>
      </c>
      <c r="T371" s="181">
        <f t="shared" si="84"/>
        <v>0</v>
      </c>
      <c r="U371" s="181">
        <f t="shared" si="84"/>
        <v>244.73</v>
      </c>
      <c r="V371" s="181">
        <f t="shared" si="84"/>
        <v>0</v>
      </c>
    </row>
    <row r="372" spans="2:23">
      <c r="B372" s="334" t="s">
        <v>293</v>
      </c>
      <c r="C372" s="32" t="s">
        <v>1037</v>
      </c>
      <c r="D372" s="16" t="s">
        <v>353</v>
      </c>
      <c r="E372" s="167"/>
      <c r="F372" s="167">
        <v>4437.17</v>
      </c>
      <c r="G372" s="167"/>
      <c r="H372" s="167">
        <v>38.25</v>
      </c>
      <c r="I372" s="167"/>
      <c r="J372" s="167">
        <v>40.98</v>
      </c>
      <c r="K372" s="167">
        <v>38.81</v>
      </c>
      <c r="L372" s="167">
        <v>42.3</v>
      </c>
      <c r="M372" s="167">
        <v>43.83</v>
      </c>
      <c r="N372" s="167"/>
      <c r="O372" s="167">
        <v>44.27</v>
      </c>
      <c r="P372" s="167"/>
      <c r="Q372" s="167">
        <v>44.71</v>
      </c>
      <c r="R372" s="167"/>
      <c r="S372" s="167">
        <v>45.16</v>
      </c>
      <c r="T372" s="167"/>
      <c r="U372" s="167">
        <v>45.61</v>
      </c>
      <c r="V372" s="167"/>
    </row>
    <row r="373" spans="2:23" ht="21">
      <c r="B373" s="334" t="s">
        <v>301</v>
      </c>
      <c r="C373" s="32" t="s">
        <v>1038</v>
      </c>
      <c r="D373" s="16" t="s">
        <v>353</v>
      </c>
      <c r="E373" s="167"/>
      <c r="F373" s="167">
        <v>42020.57</v>
      </c>
      <c r="G373" s="167"/>
      <c r="H373" s="167">
        <v>31.07</v>
      </c>
      <c r="I373" s="167"/>
      <c r="J373" s="167">
        <v>63.45</v>
      </c>
      <c r="K373" s="167">
        <v>31.69</v>
      </c>
      <c r="L373" s="167">
        <v>63.46</v>
      </c>
      <c r="M373" s="167">
        <v>49.43</v>
      </c>
      <c r="N373" s="167"/>
      <c r="O373" s="167">
        <v>49.92</v>
      </c>
      <c r="P373" s="167"/>
      <c r="Q373" s="167">
        <v>50.42</v>
      </c>
      <c r="R373" s="167"/>
      <c r="S373" s="167">
        <v>50.93</v>
      </c>
      <c r="T373" s="167"/>
      <c r="U373" s="167">
        <v>51.44</v>
      </c>
      <c r="V373" s="167"/>
    </row>
    <row r="374" spans="2:23">
      <c r="B374" s="334" t="s">
        <v>303</v>
      </c>
      <c r="C374" s="32" t="s">
        <v>1039</v>
      </c>
      <c r="D374" s="16" t="s">
        <v>353</v>
      </c>
      <c r="E374" s="167"/>
      <c r="F374" s="167">
        <v>5333.67</v>
      </c>
      <c r="G374" s="167"/>
      <c r="H374" s="167">
        <v>92.93</v>
      </c>
      <c r="I374" s="167"/>
      <c r="J374" s="167">
        <v>88.89</v>
      </c>
      <c r="K374" s="167">
        <v>94.8</v>
      </c>
      <c r="L374" s="167">
        <v>75.89</v>
      </c>
      <c r="M374" s="167">
        <v>46.08</v>
      </c>
      <c r="N374" s="167"/>
      <c r="O374" s="167">
        <v>46.54</v>
      </c>
      <c r="P374" s="167"/>
      <c r="Q374" s="167">
        <v>47.01</v>
      </c>
      <c r="R374" s="167"/>
      <c r="S374" s="167">
        <v>47.48</v>
      </c>
      <c r="T374" s="167"/>
      <c r="U374" s="167">
        <v>47.95</v>
      </c>
      <c r="V374" s="167"/>
    </row>
    <row r="375" spans="2:23">
      <c r="B375" s="334" t="s">
        <v>305</v>
      </c>
      <c r="C375" s="32" t="s">
        <v>1040</v>
      </c>
      <c r="D375" s="16" t="s">
        <v>353</v>
      </c>
      <c r="E375" s="167"/>
      <c r="F375" s="167"/>
      <c r="G375" s="167"/>
      <c r="H375" s="167">
        <v>100</v>
      </c>
      <c r="I375" s="167"/>
      <c r="J375" s="167">
        <v>100</v>
      </c>
      <c r="K375" s="167">
        <v>101</v>
      </c>
      <c r="L375" s="167">
        <v>100</v>
      </c>
      <c r="M375" s="167">
        <v>21.18</v>
      </c>
      <c r="N375" s="167"/>
      <c r="O375" s="167">
        <v>21.39</v>
      </c>
      <c r="P375" s="167"/>
      <c r="Q375" s="167">
        <v>21.61</v>
      </c>
      <c r="R375" s="167"/>
      <c r="S375" s="167">
        <v>21.82</v>
      </c>
      <c r="T375" s="167"/>
      <c r="U375" s="167">
        <v>22.04</v>
      </c>
      <c r="V375" s="167"/>
    </row>
    <row r="376" spans="2:23">
      <c r="B376" s="334" t="s">
        <v>307</v>
      </c>
      <c r="C376" s="32" t="s">
        <v>300</v>
      </c>
      <c r="D376" s="16" t="s">
        <v>353</v>
      </c>
      <c r="E376" s="167"/>
      <c r="F376" s="167">
        <v>36.17</v>
      </c>
      <c r="G376" s="167"/>
      <c r="H376" s="167">
        <v>100</v>
      </c>
      <c r="I376" s="167"/>
      <c r="J376" s="167">
        <v>100</v>
      </c>
      <c r="K376" s="167">
        <v>101</v>
      </c>
      <c r="L376" s="167">
        <v>100</v>
      </c>
      <c r="M376" s="167">
        <v>74.66</v>
      </c>
      <c r="N376" s="167"/>
      <c r="O376" s="167">
        <v>75.41</v>
      </c>
      <c r="P376" s="167"/>
      <c r="Q376" s="167">
        <v>76.16</v>
      </c>
      <c r="R376" s="167"/>
      <c r="S376" s="167">
        <v>76.92</v>
      </c>
      <c r="T376" s="167"/>
      <c r="U376" s="167">
        <v>77.69</v>
      </c>
      <c r="V376" s="167"/>
    </row>
    <row r="377" spans="2:23" ht="36.75" customHeight="1">
      <c r="B377" s="458" t="s">
        <v>679</v>
      </c>
      <c r="C377" s="164" t="s">
        <v>1050</v>
      </c>
      <c r="D377" s="16" t="s">
        <v>22</v>
      </c>
      <c r="E377" s="181">
        <f t="shared" ref="E377:V377" si="85">SUM(E378:E382)</f>
        <v>34140.699999999997</v>
      </c>
      <c r="F377" s="181">
        <f t="shared" si="85"/>
        <v>51827.579999999994</v>
      </c>
      <c r="G377" s="181">
        <f t="shared" si="85"/>
        <v>49381.31</v>
      </c>
      <c r="H377" s="181">
        <f t="shared" si="85"/>
        <v>66414.78</v>
      </c>
      <c r="I377" s="181">
        <f t="shared" si="85"/>
        <v>103295.09999999999</v>
      </c>
      <c r="J377" s="181">
        <f t="shared" si="85"/>
        <v>70249.58</v>
      </c>
      <c r="K377" s="181">
        <f t="shared" si="85"/>
        <v>119471.34</v>
      </c>
      <c r="L377" s="181">
        <f t="shared" si="85"/>
        <v>72271.170000000013</v>
      </c>
      <c r="M377" s="181">
        <f>SUM(M378:M382)</f>
        <v>146128</v>
      </c>
      <c r="N377" s="181">
        <f t="shared" si="85"/>
        <v>0</v>
      </c>
      <c r="O377" s="181">
        <f t="shared" si="85"/>
        <v>157881.28</v>
      </c>
      <c r="P377" s="181">
        <f t="shared" si="85"/>
        <v>0</v>
      </c>
      <c r="Q377" s="181">
        <f t="shared" si="85"/>
        <v>160426.06</v>
      </c>
      <c r="R377" s="181">
        <f t="shared" si="85"/>
        <v>0</v>
      </c>
      <c r="S377" s="181">
        <f t="shared" si="85"/>
        <v>163649.85</v>
      </c>
      <c r="T377" s="181">
        <f t="shared" si="85"/>
        <v>0</v>
      </c>
      <c r="U377" s="181">
        <f t="shared" si="85"/>
        <v>165857.37</v>
      </c>
      <c r="V377" s="181">
        <f t="shared" si="85"/>
        <v>0</v>
      </c>
    </row>
    <row r="378" spans="2:23">
      <c r="B378" s="334" t="s">
        <v>310</v>
      </c>
      <c r="C378" s="32" t="s">
        <v>1037</v>
      </c>
      <c r="D378" s="16" t="s">
        <v>22</v>
      </c>
      <c r="E378" s="167">
        <v>31261.3</v>
      </c>
      <c r="F378" s="167">
        <v>4437.17</v>
      </c>
      <c r="G378" s="167">
        <v>4849.92</v>
      </c>
      <c r="H378" s="167">
        <v>7485.15</v>
      </c>
      <c r="I378" s="167">
        <v>24995.42</v>
      </c>
      <c r="J378" s="167">
        <v>16772.689999999999</v>
      </c>
      <c r="K378" s="167">
        <v>49941.61</v>
      </c>
      <c r="L378" s="167">
        <v>18649.63</v>
      </c>
      <c r="M378" s="167">
        <v>19661</v>
      </c>
      <c r="N378" s="167"/>
      <c r="O378" s="167">
        <v>19857.61</v>
      </c>
      <c r="P378" s="167"/>
      <c r="Q378" s="167">
        <v>21022.15</v>
      </c>
      <c r="R378" s="167"/>
      <c r="S378" s="167">
        <v>22617.41</v>
      </c>
      <c r="T378" s="167"/>
      <c r="U378" s="167">
        <v>22843.58</v>
      </c>
      <c r="V378" s="167"/>
    </row>
    <row r="379" spans="2:23" ht="21">
      <c r="B379" s="334" t="s">
        <v>312</v>
      </c>
      <c r="C379" s="32" t="s">
        <v>1038</v>
      </c>
      <c r="D379" s="16" t="s">
        <v>22</v>
      </c>
      <c r="E379" s="167"/>
      <c r="F379" s="167">
        <v>42020.57</v>
      </c>
      <c r="G379" s="167">
        <v>35842.07</v>
      </c>
      <c r="H379" s="167">
        <v>53893.98</v>
      </c>
      <c r="I379" s="167">
        <f>36917.33+32404</f>
        <v>69321.33</v>
      </c>
      <c r="J379" s="167">
        <v>47706.05</v>
      </c>
      <c r="K379" s="167">
        <f>67422.65-3029.76</f>
        <v>64392.889999999992</v>
      </c>
      <c r="L379" s="167">
        <v>46165.66</v>
      </c>
      <c r="M379" s="167">
        <v>112320</v>
      </c>
      <c r="N379" s="167"/>
      <c r="O379" s="167">
        <v>123735.2</v>
      </c>
      <c r="P379" s="167"/>
      <c r="Q379" s="167">
        <v>124972.55</v>
      </c>
      <c r="R379" s="167"/>
      <c r="S379" s="167">
        <v>126456.78</v>
      </c>
      <c r="T379" s="167"/>
      <c r="U379" s="167">
        <v>128292.36</v>
      </c>
      <c r="V379" s="167"/>
    </row>
    <row r="380" spans="2:23">
      <c r="B380" s="334" t="s">
        <v>314</v>
      </c>
      <c r="C380" s="32" t="s">
        <v>1039</v>
      </c>
      <c r="D380" s="16" t="s">
        <v>22</v>
      </c>
      <c r="E380" s="167">
        <v>2879.4</v>
      </c>
      <c r="F380" s="167">
        <v>5333.67</v>
      </c>
      <c r="G380" s="167">
        <v>2701.12</v>
      </c>
      <c r="H380" s="167">
        <v>5035.6499999999996</v>
      </c>
      <c r="I380" s="167">
        <v>2836.18</v>
      </c>
      <c r="J380" s="167">
        <v>5761.19</v>
      </c>
      <c r="K380" s="167">
        <v>5136.84</v>
      </c>
      <c r="L380" s="167">
        <v>7407.63</v>
      </c>
      <c r="M380" s="167">
        <v>12912</v>
      </c>
      <c r="N380" s="167"/>
      <c r="O380" s="167">
        <v>13041.12</v>
      </c>
      <c r="P380" s="167"/>
      <c r="Q380" s="167">
        <v>13171.53</v>
      </c>
      <c r="R380" s="167"/>
      <c r="S380" s="167">
        <v>13303.25</v>
      </c>
      <c r="T380" s="167"/>
      <c r="U380" s="167">
        <v>13436.28</v>
      </c>
      <c r="V380" s="167"/>
    </row>
    <row r="381" spans="2:23">
      <c r="B381" s="334" t="s">
        <v>316</v>
      </c>
      <c r="C381" s="32" t="s">
        <v>1040</v>
      </c>
      <c r="D381" s="16" t="s">
        <v>22</v>
      </c>
      <c r="E381" s="167"/>
      <c r="F381" s="167" t="s">
        <v>1051</v>
      </c>
      <c r="G381" s="167">
        <v>5946.03</v>
      </c>
      <c r="H381" s="167">
        <v>0</v>
      </c>
      <c r="I381" s="167">
        <v>6100</v>
      </c>
      <c r="J381" s="167">
        <v>0</v>
      </c>
      <c r="K381" s="167">
        <v>0</v>
      </c>
      <c r="L381" s="167">
        <v>0</v>
      </c>
      <c r="M381" s="167">
        <v>1175</v>
      </c>
      <c r="N381" s="167"/>
      <c r="O381" s="167">
        <v>1186.75</v>
      </c>
      <c r="P381" s="167"/>
      <c r="Q381" s="167">
        <v>1198.6199999999999</v>
      </c>
      <c r="R381" s="167"/>
      <c r="S381" s="167">
        <v>1210.5999999999999</v>
      </c>
      <c r="T381" s="167"/>
      <c r="U381" s="167">
        <v>1222.71</v>
      </c>
      <c r="V381" s="167"/>
    </row>
    <row r="382" spans="2:23">
      <c r="B382" s="334" t="s">
        <v>318</v>
      </c>
      <c r="C382" s="32" t="s">
        <v>300</v>
      </c>
      <c r="D382" s="16" t="s">
        <v>22</v>
      </c>
      <c r="E382" s="167"/>
      <c r="F382" s="167">
        <v>36.17</v>
      </c>
      <c r="G382" s="167">
        <v>42.17</v>
      </c>
      <c r="H382" s="167">
        <v>0</v>
      </c>
      <c r="I382" s="167">
        <v>42.17</v>
      </c>
      <c r="J382" s="167">
        <v>9.65</v>
      </c>
      <c r="K382" s="167">
        <v>0</v>
      </c>
      <c r="L382" s="167">
        <v>48.25</v>
      </c>
      <c r="M382" s="167">
        <v>60</v>
      </c>
      <c r="N382" s="167"/>
      <c r="O382" s="167">
        <v>60.6</v>
      </c>
      <c r="P382" s="167"/>
      <c r="Q382" s="167">
        <v>61.21</v>
      </c>
      <c r="R382" s="167"/>
      <c r="S382" s="167">
        <v>61.81</v>
      </c>
      <c r="T382" s="167"/>
      <c r="U382" s="167">
        <v>62.44</v>
      </c>
      <c r="V382" s="167"/>
    </row>
    <row r="383" spans="2:23">
      <c r="B383" s="458" t="s">
        <v>324</v>
      </c>
      <c r="C383" s="164" t="s">
        <v>1052</v>
      </c>
      <c r="D383" s="16"/>
      <c r="E383" s="181">
        <f t="shared" ref="E383:V383" si="86">SUM(E384:E388)</f>
        <v>0</v>
      </c>
      <c r="F383" s="181">
        <f t="shared" si="86"/>
        <v>0</v>
      </c>
      <c r="G383" s="181">
        <f t="shared" si="86"/>
        <v>0</v>
      </c>
      <c r="H383" s="181">
        <f t="shared" si="86"/>
        <v>0</v>
      </c>
      <c r="I383" s="181">
        <f t="shared" si="86"/>
        <v>0</v>
      </c>
      <c r="J383" s="181">
        <f t="shared" si="86"/>
        <v>0</v>
      </c>
      <c r="K383" s="181">
        <f t="shared" si="86"/>
        <v>0</v>
      </c>
      <c r="L383" s="181">
        <f t="shared" si="86"/>
        <v>0</v>
      </c>
      <c r="M383" s="181">
        <f t="shared" si="86"/>
        <v>0</v>
      </c>
      <c r="N383" s="181">
        <f t="shared" si="86"/>
        <v>0</v>
      </c>
      <c r="O383" s="181">
        <f t="shared" si="86"/>
        <v>0</v>
      </c>
      <c r="P383" s="181">
        <f t="shared" si="86"/>
        <v>0</v>
      </c>
      <c r="Q383" s="181">
        <f t="shared" si="86"/>
        <v>0</v>
      </c>
      <c r="R383" s="181">
        <f t="shared" si="86"/>
        <v>0</v>
      </c>
      <c r="S383" s="181">
        <f t="shared" si="86"/>
        <v>0</v>
      </c>
      <c r="T383" s="181">
        <f t="shared" si="86"/>
        <v>0</v>
      </c>
      <c r="U383" s="181">
        <f t="shared" si="86"/>
        <v>0</v>
      </c>
      <c r="V383" s="181">
        <f t="shared" si="86"/>
        <v>0</v>
      </c>
    </row>
    <row r="384" spans="2:23" hidden="1">
      <c r="B384" s="428" t="s">
        <v>680</v>
      </c>
      <c r="C384" s="32" t="s">
        <v>1037</v>
      </c>
      <c r="D384" s="16" t="s">
        <v>22</v>
      </c>
      <c r="E384" s="167"/>
      <c r="F384" s="167"/>
      <c r="G384" s="167">
        <v>0</v>
      </c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</row>
    <row r="385" spans="2:25" ht="21" hidden="1">
      <c r="B385" s="428" t="s">
        <v>682</v>
      </c>
      <c r="C385" s="32" t="s">
        <v>1038</v>
      </c>
      <c r="D385" s="16" t="s">
        <v>22</v>
      </c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</row>
    <row r="386" spans="2:25" hidden="1">
      <c r="B386" s="428" t="s">
        <v>684</v>
      </c>
      <c r="C386" s="32" t="s">
        <v>1039</v>
      </c>
      <c r="D386" s="16" t="s">
        <v>22</v>
      </c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</row>
    <row r="387" spans="2:25" hidden="1">
      <c r="B387" s="428" t="s">
        <v>1053</v>
      </c>
      <c r="C387" s="32" t="s">
        <v>1040</v>
      </c>
      <c r="D387" s="16" t="s">
        <v>22</v>
      </c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</row>
    <row r="388" spans="2:25" hidden="1">
      <c r="B388" s="457" t="s">
        <v>1054</v>
      </c>
      <c r="C388" s="32" t="s">
        <v>300</v>
      </c>
      <c r="D388" s="16" t="s">
        <v>22</v>
      </c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</row>
    <row r="389" spans="2:25">
      <c r="B389" s="428"/>
      <c r="C389" s="295" t="s">
        <v>1055</v>
      </c>
      <c r="D389" s="416" t="s">
        <v>22</v>
      </c>
      <c r="E389" s="297">
        <f>E371+E377+E383+E365+E359+E353+E347+E341</f>
        <v>34140.699999999997</v>
      </c>
      <c r="F389" s="297">
        <f t="shared" ref="F389:V389" si="87">F377</f>
        <v>51827.579999999994</v>
      </c>
      <c r="G389" s="297">
        <f t="shared" si="87"/>
        <v>49381.31</v>
      </c>
      <c r="H389" s="297">
        <f t="shared" si="87"/>
        <v>66414.78</v>
      </c>
      <c r="I389" s="297">
        <f t="shared" si="87"/>
        <v>103295.09999999999</v>
      </c>
      <c r="J389" s="297">
        <f t="shared" si="87"/>
        <v>70249.58</v>
      </c>
      <c r="K389" s="297">
        <f t="shared" si="87"/>
        <v>119471.34</v>
      </c>
      <c r="L389" s="297">
        <f t="shared" si="87"/>
        <v>72271.170000000013</v>
      </c>
      <c r="M389" s="297">
        <f t="shared" si="87"/>
        <v>146128</v>
      </c>
      <c r="N389" s="297">
        <f>'К ВС'!Q172</f>
        <v>96694.68</v>
      </c>
      <c r="O389" s="297">
        <f t="shared" si="87"/>
        <v>157881.28</v>
      </c>
      <c r="P389" s="297">
        <f>'К ВС'!U172</f>
        <v>96694.68</v>
      </c>
      <c r="Q389" s="297">
        <f>Q377-0.01</f>
        <v>160426.04999999999</v>
      </c>
      <c r="R389" s="297">
        <f t="shared" si="87"/>
        <v>0</v>
      </c>
      <c r="S389" s="297">
        <f t="shared" si="87"/>
        <v>163649.85</v>
      </c>
      <c r="T389" s="297">
        <f t="shared" si="87"/>
        <v>0</v>
      </c>
      <c r="U389" s="297">
        <f>U377-0.01</f>
        <v>165857.35999999999</v>
      </c>
      <c r="V389" s="297">
        <f t="shared" si="87"/>
        <v>0</v>
      </c>
    </row>
    <row r="390" spans="2:25" ht="21.75" customHeight="1">
      <c r="B390" s="464"/>
    </row>
    <row r="391" spans="2:25" ht="27.75" customHeight="1">
      <c r="B391" s="428"/>
      <c r="C391" s="465" t="s">
        <v>1056</v>
      </c>
      <c r="D391" s="426"/>
      <c r="E391" s="313"/>
      <c r="F391" s="313"/>
      <c r="G391" s="313"/>
      <c r="H391" s="313"/>
      <c r="I391" s="313"/>
      <c r="J391" s="313">
        <f>34.34</f>
        <v>34.340000000000003</v>
      </c>
      <c r="K391" s="313"/>
      <c r="L391" s="673">
        <v>53760.78</v>
      </c>
      <c r="M391" s="312">
        <v>20304.189999999999</v>
      </c>
      <c r="N391" s="313"/>
      <c r="O391" s="312">
        <f>M391</f>
        <v>20304.189999999999</v>
      </c>
      <c r="P391" s="313"/>
      <c r="Q391" s="312">
        <f>O391</f>
        <v>20304.189999999999</v>
      </c>
      <c r="R391" s="313"/>
      <c r="S391" s="312">
        <f>Q391</f>
        <v>20304.189999999999</v>
      </c>
      <c r="T391" s="313"/>
      <c r="U391" s="312">
        <f>S391</f>
        <v>20304.189999999999</v>
      </c>
      <c r="V391" s="313"/>
    </row>
    <row r="392" spans="2:25" ht="24" customHeight="1">
      <c r="B392" s="672"/>
      <c r="C392" s="465" t="s">
        <v>1288</v>
      </c>
      <c r="D392" s="674"/>
      <c r="E392" s="312"/>
      <c r="F392" s="312"/>
      <c r="G392" s="312"/>
      <c r="H392" s="312"/>
      <c r="I392" s="312"/>
      <c r="J392" s="312"/>
      <c r="K392" s="312"/>
      <c r="L392" s="675"/>
      <c r="M392" s="312"/>
      <c r="N392" s="312"/>
      <c r="O392" s="312"/>
      <c r="P392" s="312"/>
      <c r="Q392" s="312"/>
      <c r="R392" s="312"/>
      <c r="S392" s="312"/>
      <c r="T392" s="312"/>
      <c r="U392" s="312"/>
      <c r="V392" s="312"/>
      <c r="Y392" s="134"/>
    </row>
    <row r="393" spans="2:25" ht="35.25" customHeight="1">
      <c r="B393" s="466"/>
      <c r="C393" s="467" t="s">
        <v>1057</v>
      </c>
      <c r="D393" s="676"/>
      <c r="E393" s="468"/>
      <c r="F393" s="468"/>
      <c r="G393" s="468"/>
      <c r="H393" s="468"/>
      <c r="I393" s="468"/>
      <c r="J393" s="468">
        <f>J389-J391+J394</f>
        <v>91513.718400000012</v>
      </c>
      <c r="K393" s="468">
        <f>K389-K391+K394</f>
        <v>119471.34</v>
      </c>
      <c r="L393" s="468">
        <f>L389+L394</f>
        <v>88365.23000000001</v>
      </c>
      <c r="M393" s="468">
        <f>M389-M391+M394+M392</f>
        <v>125823.81</v>
      </c>
      <c r="N393" s="468">
        <f t="shared" ref="N393:V393" si="88">N389-N391+N394+N392</f>
        <v>96694.68</v>
      </c>
      <c r="O393" s="468">
        <f>O389-O391+O394+O392</f>
        <v>137577.09</v>
      </c>
      <c r="P393" s="468">
        <f t="shared" si="88"/>
        <v>96694.68</v>
      </c>
      <c r="Q393" s="468">
        <f t="shared" si="88"/>
        <v>140121.85999999999</v>
      </c>
      <c r="R393" s="468">
        <f>R389-R391+R394+R392</f>
        <v>0</v>
      </c>
      <c r="S393" s="468">
        <f>S389-S391+S394+S392</f>
        <v>143345.66</v>
      </c>
      <c r="T393" s="468">
        <f>T389-T391+T394+T392</f>
        <v>0</v>
      </c>
      <c r="U393" s="468">
        <f>U389-U391+U394+U392</f>
        <v>145553.16999999998</v>
      </c>
      <c r="V393" s="468">
        <f t="shared" si="88"/>
        <v>0</v>
      </c>
    </row>
    <row r="394" spans="2:25" ht="18">
      <c r="B394" s="428"/>
      <c r="C394" s="465" t="s">
        <v>1300</v>
      </c>
      <c r="D394" s="674"/>
      <c r="E394" s="312"/>
      <c r="F394" s="312"/>
      <c r="G394" s="312"/>
      <c r="H394" s="312"/>
      <c r="I394" s="312"/>
      <c r="J394" s="312">
        <f>44371.83*0.48</f>
        <v>21298.4784</v>
      </c>
      <c r="K394" s="312"/>
      <c r="L394" s="312">
        <v>16094.06</v>
      </c>
      <c r="M394" s="312"/>
      <c r="N394" s="312"/>
      <c r="O394" s="312"/>
      <c r="P394" s="312"/>
      <c r="Q394" s="312"/>
      <c r="R394" s="312"/>
      <c r="S394" s="312"/>
      <c r="T394" s="312"/>
      <c r="U394" s="312"/>
      <c r="V394" s="312"/>
    </row>
    <row r="395" spans="2:25" ht="20.25" customHeight="1">
      <c r="B395" s="703"/>
      <c r="C395" s="465" t="s">
        <v>1327</v>
      </c>
      <c r="D395" s="426"/>
      <c r="E395" s="313"/>
      <c r="F395" s="313"/>
      <c r="G395" s="313"/>
      <c r="H395" s="313"/>
      <c r="I395" s="313"/>
      <c r="J395" s="313"/>
      <c r="K395" s="313"/>
      <c r="L395" s="313"/>
      <c r="M395" s="313"/>
      <c r="N395" s="313"/>
      <c r="O395" s="312"/>
      <c r="P395" s="313"/>
      <c r="Q395" s="312"/>
      <c r="R395" s="313"/>
      <c r="S395" s="312"/>
      <c r="T395" s="313"/>
      <c r="U395" s="312"/>
      <c r="V395" s="313"/>
    </row>
    <row r="396" spans="2:25">
      <c r="B396" s="704"/>
      <c r="C396" s="705" t="s">
        <v>1328</v>
      </c>
      <c r="D396" s="706"/>
      <c r="E396" s="707"/>
      <c r="F396" s="707"/>
      <c r="G396" s="707"/>
      <c r="H396" s="707"/>
      <c r="I396" s="707"/>
      <c r="J396" s="707"/>
      <c r="K396" s="707"/>
      <c r="L396" s="707"/>
      <c r="M396" s="468">
        <f>M393</f>
        <v>125823.81</v>
      </c>
      <c r="N396" s="707"/>
      <c r="O396" s="468">
        <f>O393+O395</f>
        <v>137577.09</v>
      </c>
      <c r="P396" s="468">
        <f t="shared" ref="P396:V396" si="89">P393+P395</f>
        <v>96694.68</v>
      </c>
      <c r="Q396" s="468">
        <f t="shared" si="89"/>
        <v>140121.85999999999</v>
      </c>
      <c r="R396" s="468">
        <f t="shared" si="89"/>
        <v>0</v>
      </c>
      <c r="S396" s="468">
        <f t="shared" si="89"/>
        <v>143345.66</v>
      </c>
      <c r="T396" s="468">
        <f t="shared" si="89"/>
        <v>0</v>
      </c>
      <c r="U396" s="468">
        <f t="shared" si="89"/>
        <v>145553.16999999998</v>
      </c>
      <c r="V396" s="468">
        <f t="shared" si="89"/>
        <v>0</v>
      </c>
    </row>
    <row r="398" spans="2:25" ht="15.75">
      <c r="B398" s="419" t="s">
        <v>1058</v>
      </c>
    </row>
    <row r="399" spans="2:25" s="332" customFormat="1" ht="15" customHeight="1">
      <c r="B399" s="1597" t="s">
        <v>539</v>
      </c>
      <c r="C399" s="1598" t="s">
        <v>540</v>
      </c>
      <c r="D399" s="1599" t="s">
        <v>541</v>
      </c>
      <c r="E399" s="1596" t="s">
        <v>4</v>
      </c>
      <c r="F399" s="1596"/>
      <c r="G399" s="1596" t="s">
        <v>5</v>
      </c>
      <c r="H399" s="1596"/>
      <c r="I399" s="1596" t="s">
        <v>6</v>
      </c>
      <c r="J399" s="1596"/>
      <c r="K399" s="1596" t="s">
        <v>7</v>
      </c>
      <c r="L399" s="1596"/>
      <c r="M399" s="1596" t="str">
        <f>M306</f>
        <v>Факт 2019 год</v>
      </c>
      <c r="N399" s="1596"/>
      <c r="O399" s="1596" t="s">
        <v>9</v>
      </c>
      <c r="P399" s="1596"/>
      <c r="Q399" s="1596" t="s">
        <v>10</v>
      </c>
      <c r="R399" s="1596"/>
      <c r="S399" s="1596" t="s">
        <v>11</v>
      </c>
      <c r="T399" s="1596"/>
      <c r="U399" s="1596" t="s">
        <v>12</v>
      </c>
      <c r="V399" s="1596"/>
    </row>
    <row r="400" spans="2:25" s="332" customFormat="1" ht="46.35" customHeight="1">
      <c r="B400" s="1597"/>
      <c r="C400" s="1598"/>
      <c r="D400" s="1599"/>
      <c r="E400" s="149" t="s">
        <v>13</v>
      </c>
      <c r="F400" s="150" t="s">
        <v>14</v>
      </c>
      <c r="G400" s="149" t="s">
        <v>13</v>
      </c>
      <c r="H400" s="150" t="s">
        <v>14</v>
      </c>
      <c r="I400" s="149" t="s">
        <v>13</v>
      </c>
      <c r="J400" s="150" t="s">
        <v>14</v>
      </c>
      <c r="K400" s="149" t="s">
        <v>13</v>
      </c>
      <c r="L400" s="150" t="s">
        <v>15</v>
      </c>
      <c r="M400" s="149" t="s">
        <v>16</v>
      </c>
      <c r="N400" s="150" t="s">
        <v>17</v>
      </c>
      <c r="O400" s="149" t="s">
        <v>16</v>
      </c>
      <c r="P400" s="150" t="s">
        <v>17</v>
      </c>
      <c r="Q400" s="149" t="s">
        <v>16</v>
      </c>
      <c r="R400" s="150" t="s">
        <v>17</v>
      </c>
      <c r="S400" s="149" t="s">
        <v>16</v>
      </c>
      <c r="T400" s="150" t="s">
        <v>17</v>
      </c>
      <c r="U400" s="149" t="s">
        <v>16</v>
      </c>
      <c r="V400" s="150" t="s">
        <v>17</v>
      </c>
    </row>
    <row r="401" spans="2:22" s="332" customFormat="1">
      <c r="B401" s="155">
        <v>1</v>
      </c>
      <c r="C401" s="155">
        <v>2</v>
      </c>
      <c r="D401" s="155">
        <v>3</v>
      </c>
      <c r="E401" s="155">
        <v>4</v>
      </c>
      <c r="F401" s="155">
        <v>5</v>
      </c>
      <c r="G401" s="155">
        <v>6</v>
      </c>
      <c r="H401" s="155">
        <v>7</v>
      </c>
      <c r="I401" s="155">
        <v>8</v>
      </c>
      <c r="J401" s="155">
        <v>9</v>
      </c>
      <c r="K401" s="155">
        <v>10</v>
      </c>
      <c r="L401" s="155">
        <v>11</v>
      </c>
      <c r="M401" s="155">
        <v>12</v>
      </c>
      <c r="N401" s="155">
        <v>13</v>
      </c>
      <c r="O401" s="155">
        <v>14</v>
      </c>
      <c r="P401" s="155">
        <v>15</v>
      </c>
      <c r="Q401" s="155">
        <v>16</v>
      </c>
      <c r="R401" s="155">
        <v>17</v>
      </c>
      <c r="S401" s="155">
        <v>18</v>
      </c>
      <c r="T401" s="155">
        <v>19</v>
      </c>
      <c r="U401" s="155">
        <v>20</v>
      </c>
      <c r="V401" s="155">
        <v>21</v>
      </c>
    </row>
    <row r="402" spans="2:22">
      <c r="B402" s="458">
        <v>1</v>
      </c>
      <c r="C402" s="164" t="s">
        <v>294</v>
      </c>
      <c r="D402" s="16" t="s">
        <v>22</v>
      </c>
      <c r="E402" s="181">
        <f t="shared" ref="E402:V402" si="90">SUM(E403:E408)</f>
        <v>0</v>
      </c>
      <c r="F402" s="181">
        <f t="shared" si="90"/>
        <v>0</v>
      </c>
      <c r="G402" s="181">
        <f t="shared" si="90"/>
        <v>0</v>
      </c>
      <c r="H402" s="181">
        <f t="shared" si="90"/>
        <v>0</v>
      </c>
      <c r="I402" s="181">
        <f t="shared" si="90"/>
        <v>0</v>
      </c>
      <c r="J402" s="181">
        <f t="shared" si="90"/>
        <v>0</v>
      </c>
      <c r="K402" s="181">
        <f t="shared" si="90"/>
        <v>0</v>
      </c>
      <c r="L402" s="181">
        <f t="shared" si="90"/>
        <v>0</v>
      </c>
      <c r="M402" s="181">
        <f t="shared" si="90"/>
        <v>0</v>
      </c>
      <c r="N402" s="181">
        <f t="shared" si="90"/>
        <v>0</v>
      </c>
      <c r="O402" s="181">
        <f t="shared" si="90"/>
        <v>0</v>
      </c>
      <c r="P402" s="181">
        <f t="shared" si="90"/>
        <v>0</v>
      </c>
      <c r="Q402" s="181">
        <f t="shared" si="90"/>
        <v>0</v>
      </c>
      <c r="R402" s="181">
        <f t="shared" si="90"/>
        <v>0</v>
      </c>
      <c r="S402" s="181">
        <f t="shared" si="90"/>
        <v>0</v>
      </c>
      <c r="T402" s="181">
        <f t="shared" si="90"/>
        <v>0</v>
      </c>
      <c r="U402" s="181">
        <f t="shared" si="90"/>
        <v>0</v>
      </c>
      <c r="V402" s="181">
        <f t="shared" si="90"/>
        <v>0</v>
      </c>
    </row>
    <row r="403" spans="2:22">
      <c r="B403" s="334" t="s">
        <v>24</v>
      </c>
      <c r="C403" s="32"/>
      <c r="D403" s="16" t="s">
        <v>22</v>
      </c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</row>
    <row r="404" spans="2:22">
      <c r="B404" s="334" t="s">
        <v>37</v>
      </c>
      <c r="C404" s="32"/>
      <c r="D404" s="16" t="s">
        <v>22</v>
      </c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</row>
    <row r="405" spans="2:22">
      <c r="B405" s="334" t="s">
        <v>143</v>
      </c>
      <c r="C405" s="32"/>
      <c r="D405" s="16" t="s">
        <v>22</v>
      </c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</row>
    <row r="406" spans="2:22">
      <c r="B406" s="334" t="s">
        <v>144</v>
      </c>
      <c r="C406" s="32"/>
      <c r="D406" s="16" t="s">
        <v>22</v>
      </c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</row>
    <row r="407" spans="2:22">
      <c r="B407" s="334" t="s">
        <v>172</v>
      </c>
      <c r="C407" s="32"/>
      <c r="D407" s="16" t="s">
        <v>22</v>
      </c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</row>
    <row r="408" spans="2:22">
      <c r="B408" s="334" t="s">
        <v>174</v>
      </c>
      <c r="C408" s="32"/>
      <c r="D408" s="16" t="s">
        <v>22</v>
      </c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</row>
    <row r="409" spans="2:22">
      <c r="B409" s="458" t="s">
        <v>196</v>
      </c>
      <c r="C409" s="164" t="s">
        <v>302</v>
      </c>
      <c r="D409" s="16" t="s">
        <v>22</v>
      </c>
      <c r="E409" s="181">
        <f t="shared" ref="E409:V409" si="91">SUM(E410:E412)</f>
        <v>0</v>
      </c>
      <c r="F409" s="181">
        <f t="shared" si="91"/>
        <v>0</v>
      </c>
      <c r="G409" s="181">
        <f t="shared" si="91"/>
        <v>0</v>
      </c>
      <c r="H409" s="181">
        <f t="shared" si="91"/>
        <v>0</v>
      </c>
      <c r="I409" s="181">
        <f t="shared" si="91"/>
        <v>0</v>
      </c>
      <c r="J409" s="181">
        <f t="shared" si="91"/>
        <v>0</v>
      </c>
      <c r="K409" s="181">
        <f t="shared" si="91"/>
        <v>0</v>
      </c>
      <c r="L409" s="181">
        <f t="shared" si="91"/>
        <v>0</v>
      </c>
      <c r="M409" s="181">
        <f t="shared" si="91"/>
        <v>0</v>
      </c>
      <c r="N409" s="181">
        <f t="shared" si="91"/>
        <v>0</v>
      </c>
      <c r="O409" s="181">
        <f t="shared" si="91"/>
        <v>0</v>
      </c>
      <c r="P409" s="181">
        <f t="shared" si="91"/>
        <v>0</v>
      </c>
      <c r="Q409" s="181">
        <f t="shared" si="91"/>
        <v>0</v>
      </c>
      <c r="R409" s="181">
        <f t="shared" si="91"/>
        <v>0</v>
      </c>
      <c r="S409" s="181">
        <f t="shared" si="91"/>
        <v>0</v>
      </c>
      <c r="T409" s="181">
        <f t="shared" si="91"/>
        <v>0</v>
      </c>
      <c r="U409" s="181">
        <f t="shared" si="91"/>
        <v>0</v>
      </c>
      <c r="V409" s="181">
        <f t="shared" si="91"/>
        <v>0</v>
      </c>
    </row>
    <row r="410" spans="2:22">
      <c r="B410" s="425" t="s">
        <v>198</v>
      </c>
      <c r="C410" s="32"/>
      <c r="D410" s="16" t="s">
        <v>22</v>
      </c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</row>
    <row r="411" spans="2:22">
      <c r="B411" s="425" t="s">
        <v>202</v>
      </c>
      <c r="C411" s="32"/>
      <c r="D411" s="16" t="s">
        <v>22</v>
      </c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</row>
    <row r="412" spans="2:22">
      <c r="B412" s="425" t="s">
        <v>206</v>
      </c>
      <c r="C412" s="32"/>
      <c r="D412" s="16" t="s">
        <v>22</v>
      </c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</row>
    <row r="413" spans="2:22">
      <c r="B413" s="458" t="s">
        <v>579</v>
      </c>
      <c r="C413" s="164" t="s">
        <v>304</v>
      </c>
      <c r="D413" s="16" t="s">
        <v>22</v>
      </c>
      <c r="E413" s="181">
        <f t="shared" ref="E413:V413" si="92">SUM(E414:E417)</f>
        <v>0</v>
      </c>
      <c r="F413" s="181">
        <f t="shared" si="92"/>
        <v>0</v>
      </c>
      <c r="G413" s="181">
        <f t="shared" si="92"/>
        <v>0</v>
      </c>
      <c r="H413" s="181">
        <f t="shared" si="92"/>
        <v>0</v>
      </c>
      <c r="I413" s="181">
        <f t="shared" si="92"/>
        <v>0</v>
      </c>
      <c r="J413" s="181">
        <f t="shared" si="92"/>
        <v>0</v>
      </c>
      <c r="K413" s="181">
        <f t="shared" si="92"/>
        <v>0</v>
      </c>
      <c r="L413" s="181">
        <f t="shared" si="92"/>
        <v>0</v>
      </c>
      <c r="M413" s="181">
        <f t="shared" si="92"/>
        <v>0</v>
      </c>
      <c r="N413" s="181">
        <f t="shared" si="92"/>
        <v>0</v>
      </c>
      <c r="O413" s="181">
        <f t="shared" si="92"/>
        <v>0</v>
      </c>
      <c r="P413" s="181">
        <f t="shared" si="92"/>
        <v>0</v>
      </c>
      <c r="Q413" s="181">
        <f t="shared" si="92"/>
        <v>0</v>
      </c>
      <c r="R413" s="181">
        <f t="shared" si="92"/>
        <v>0</v>
      </c>
      <c r="S413" s="181">
        <f t="shared" si="92"/>
        <v>0</v>
      </c>
      <c r="T413" s="181">
        <f t="shared" si="92"/>
        <v>0</v>
      </c>
      <c r="U413" s="181">
        <f t="shared" si="92"/>
        <v>0</v>
      </c>
      <c r="V413" s="181">
        <f t="shared" si="92"/>
        <v>0</v>
      </c>
    </row>
    <row r="414" spans="2:22">
      <c r="B414" s="469" t="s">
        <v>226</v>
      </c>
      <c r="C414" s="32"/>
      <c r="D414" s="16" t="s">
        <v>22</v>
      </c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</row>
    <row r="415" spans="2:22">
      <c r="B415" s="469" t="s">
        <v>244</v>
      </c>
      <c r="C415" s="32"/>
      <c r="D415" s="16" t="s">
        <v>22</v>
      </c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</row>
    <row r="416" spans="2:22">
      <c r="B416" s="469" t="s">
        <v>263</v>
      </c>
      <c r="C416" s="32"/>
      <c r="D416" s="16" t="s">
        <v>22</v>
      </c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</row>
    <row r="417" spans="2:22">
      <c r="B417" s="469" t="s">
        <v>264</v>
      </c>
      <c r="C417" s="32"/>
      <c r="D417" s="16" t="s">
        <v>22</v>
      </c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</row>
    <row r="418" spans="2:22">
      <c r="B418" s="470" t="s">
        <v>582</v>
      </c>
      <c r="C418" s="164" t="s">
        <v>534</v>
      </c>
      <c r="D418" s="16" t="s">
        <v>22</v>
      </c>
      <c r="E418" s="181">
        <f t="shared" ref="E418:V418" si="93">SUM(E419:E423)</f>
        <v>0</v>
      </c>
      <c r="F418" s="181">
        <f t="shared" si="93"/>
        <v>0</v>
      </c>
      <c r="G418" s="181">
        <f t="shared" si="93"/>
        <v>0</v>
      </c>
      <c r="H418" s="181">
        <f t="shared" si="93"/>
        <v>0</v>
      </c>
      <c r="I418" s="181">
        <f t="shared" si="93"/>
        <v>0</v>
      </c>
      <c r="J418" s="181">
        <f t="shared" si="93"/>
        <v>0</v>
      </c>
      <c r="K418" s="181">
        <f t="shared" si="93"/>
        <v>0</v>
      </c>
      <c r="L418" s="181">
        <f t="shared" si="93"/>
        <v>0</v>
      </c>
      <c r="M418" s="181">
        <f t="shared" si="93"/>
        <v>0</v>
      </c>
      <c r="N418" s="181">
        <f t="shared" si="93"/>
        <v>0</v>
      </c>
      <c r="O418" s="181">
        <f t="shared" si="93"/>
        <v>0</v>
      </c>
      <c r="P418" s="181">
        <f t="shared" si="93"/>
        <v>0</v>
      </c>
      <c r="Q418" s="181">
        <f t="shared" si="93"/>
        <v>0</v>
      </c>
      <c r="R418" s="181">
        <f t="shared" si="93"/>
        <v>0</v>
      </c>
      <c r="S418" s="181">
        <f t="shared" si="93"/>
        <v>0</v>
      </c>
      <c r="T418" s="181">
        <f t="shared" si="93"/>
        <v>0</v>
      </c>
      <c r="U418" s="181">
        <f t="shared" si="93"/>
        <v>0</v>
      </c>
      <c r="V418" s="181">
        <f t="shared" si="93"/>
        <v>0</v>
      </c>
    </row>
    <row r="419" spans="2:22">
      <c r="B419" s="428" t="s">
        <v>286</v>
      </c>
      <c r="C419" s="32"/>
      <c r="D419" s="16" t="s">
        <v>22</v>
      </c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</row>
    <row r="420" spans="2:22">
      <c r="B420" s="428" t="s">
        <v>1014</v>
      </c>
      <c r="C420" s="32"/>
      <c r="D420" s="16" t="s">
        <v>22</v>
      </c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</row>
    <row r="421" spans="2:22">
      <c r="B421" s="428" t="s">
        <v>1016</v>
      </c>
      <c r="C421" s="32"/>
      <c r="D421" s="16" t="s">
        <v>22</v>
      </c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</row>
    <row r="422" spans="2:22">
      <c r="B422" s="428" t="s">
        <v>1017</v>
      </c>
      <c r="C422" s="32"/>
      <c r="D422" s="16" t="s">
        <v>22</v>
      </c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</row>
    <row r="423" spans="2:22">
      <c r="B423" s="428" t="s">
        <v>1019</v>
      </c>
      <c r="C423" s="32"/>
      <c r="D423" s="16" t="s">
        <v>22</v>
      </c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</row>
    <row r="424" spans="2:22">
      <c r="B424" s="441"/>
      <c r="C424" s="295" t="s">
        <v>1059</v>
      </c>
      <c r="D424" s="416" t="s">
        <v>22</v>
      </c>
      <c r="E424" s="297">
        <f t="shared" ref="E424:V424" si="94">E402+E409+E413+E418</f>
        <v>0</v>
      </c>
      <c r="F424" s="297">
        <f t="shared" si="94"/>
        <v>0</v>
      </c>
      <c r="G424" s="297">
        <f t="shared" si="94"/>
        <v>0</v>
      </c>
      <c r="H424" s="297">
        <f t="shared" si="94"/>
        <v>0</v>
      </c>
      <c r="I424" s="297">
        <f t="shared" si="94"/>
        <v>0</v>
      </c>
      <c r="J424" s="297">
        <f t="shared" si="94"/>
        <v>0</v>
      </c>
      <c r="K424" s="297">
        <f t="shared" si="94"/>
        <v>0</v>
      </c>
      <c r="L424" s="297">
        <f t="shared" si="94"/>
        <v>0</v>
      </c>
      <c r="M424" s="297">
        <f t="shared" si="94"/>
        <v>0</v>
      </c>
      <c r="N424" s="297">
        <f t="shared" si="94"/>
        <v>0</v>
      </c>
      <c r="O424" s="297">
        <f t="shared" si="94"/>
        <v>0</v>
      </c>
      <c r="P424" s="297">
        <f t="shared" si="94"/>
        <v>0</v>
      </c>
      <c r="Q424" s="297">
        <f t="shared" si="94"/>
        <v>0</v>
      </c>
      <c r="R424" s="297">
        <f t="shared" si="94"/>
        <v>0</v>
      </c>
      <c r="S424" s="297">
        <f t="shared" si="94"/>
        <v>0</v>
      </c>
      <c r="T424" s="297">
        <f t="shared" si="94"/>
        <v>0</v>
      </c>
      <c r="U424" s="297">
        <f t="shared" si="94"/>
        <v>0</v>
      </c>
      <c r="V424" s="297">
        <f t="shared" si="94"/>
        <v>0</v>
      </c>
    </row>
    <row r="426" spans="2:22">
      <c r="O426" s="118"/>
    </row>
    <row r="427" spans="2:22" ht="15.75">
      <c r="B427" s="419" t="s">
        <v>1060</v>
      </c>
      <c r="N427" s="118">
        <f>M434+M443</f>
        <v>12367.26</v>
      </c>
    </row>
    <row r="428" spans="2:22" s="332" customFormat="1" ht="21" customHeight="1">
      <c r="B428" s="1597" t="s">
        <v>539</v>
      </c>
      <c r="C428" s="1598" t="s">
        <v>540</v>
      </c>
      <c r="D428" s="1599" t="s">
        <v>541</v>
      </c>
      <c r="E428" s="1596" t="s">
        <v>4</v>
      </c>
      <c r="F428" s="1596"/>
      <c r="G428" s="1596" t="s">
        <v>5</v>
      </c>
      <c r="H428" s="1596"/>
      <c r="I428" s="1596" t="s">
        <v>6</v>
      </c>
      <c r="J428" s="1596"/>
      <c r="K428" s="1596" t="s">
        <v>7</v>
      </c>
      <c r="L428" s="1596"/>
      <c r="M428" s="1596" t="str">
        <f>M399</f>
        <v>Факт 2019 год</v>
      </c>
      <c r="N428" s="1596"/>
      <c r="O428" s="1596" t="s">
        <v>1385</v>
      </c>
      <c r="P428" s="1596"/>
      <c r="Q428" s="1596" t="s">
        <v>10</v>
      </c>
      <c r="R428" s="1596"/>
      <c r="S428" s="1596" t="s">
        <v>11</v>
      </c>
      <c r="T428" s="1596"/>
      <c r="U428" s="1596" t="s">
        <v>12</v>
      </c>
      <c r="V428" s="1596"/>
    </row>
    <row r="429" spans="2:22" s="332" customFormat="1" ht="51.75" customHeight="1">
      <c r="B429" s="1597"/>
      <c r="C429" s="1598"/>
      <c r="D429" s="1599"/>
      <c r="E429" s="149" t="s">
        <v>13</v>
      </c>
      <c r="F429" s="150" t="s">
        <v>14</v>
      </c>
      <c r="G429" s="149" t="s">
        <v>13</v>
      </c>
      <c r="H429" s="150" t="s">
        <v>14</v>
      </c>
      <c r="I429" s="149" t="s">
        <v>13</v>
      </c>
      <c r="J429" s="150" t="s">
        <v>14</v>
      </c>
      <c r="K429" s="149" t="s">
        <v>13</v>
      </c>
      <c r="L429" s="150" t="s">
        <v>15</v>
      </c>
      <c r="M429" s="149" t="s">
        <v>16</v>
      </c>
      <c r="N429" s="150" t="s">
        <v>17</v>
      </c>
      <c r="O429" s="149" t="s">
        <v>16</v>
      </c>
      <c r="P429" s="150" t="s">
        <v>17</v>
      </c>
      <c r="Q429" s="149" t="s">
        <v>16</v>
      </c>
      <c r="R429" s="150" t="s">
        <v>17</v>
      </c>
      <c r="S429" s="149" t="s">
        <v>16</v>
      </c>
      <c r="T429" s="150" t="s">
        <v>17</v>
      </c>
      <c r="U429" s="149" t="s">
        <v>16</v>
      </c>
      <c r="V429" s="150" t="s">
        <v>17</v>
      </c>
    </row>
    <row r="430" spans="2:22" s="332" customFormat="1">
      <c r="B430" s="155">
        <v>1</v>
      </c>
      <c r="C430" s="155">
        <v>2</v>
      </c>
      <c r="D430" s="155">
        <v>3</v>
      </c>
      <c r="E430" s="155">
        <v>4</v>
      </c>
      <c r="F430" s="155">
        <v>5</v>
      </c>
      <c r="G430" s="155">
        <v>6</v>
      </c>
      <c r="H430" s="155">
        <v>7</v>
      </c>
      <c r="I430" s="155">
        <v>8</v>
      </c>
      <c r="J430" s="155">
        <v>9</v>
      </c>
      <c r="K430" s="155">
        <v>10</v>
      </c>
      <c r="L430" s="155">
        <v>11</v>
      </c>
      <c r="M430" s="155">
        <v>12</v>
      </c>
      <c r="N430" s="155">
        <v>13</v>
      </c>
      <c r="O430" s="155">
        <v>14</v>
      </c>
      <c r="P430" s="155">
        <v>15</v>
      </c>
      <c r="Q430" s="155">
        <v>16</v>
      </c>
      <c r="R430" s="155">
        <v>17</v>
      </c>
      <c r="S430" s="155">
        <v>18</v>
      </c>
      <c r="T430" s="155">
        <v>19</v>
      </c>
      <c r="U430" s="155">
        <v>20</v>
      </c>
      <c r="V430" s="155">
        <v>21</v>
      </c>
    </row>
    <row r="431" spans="2:22">
      <c r="B431" s="458" t="s">
        <v>24</v>
      </c>
      <c r="C431" s="164" t="s">
        <v>313</v>
      </c>
      <c r="D431" s="16" t="s">
        <v>22</v>
      </c>
      <c r="E431" s="181">
        <v>12436</v>
      </c>
      <c r="F431" s="181">
        <v>11887.67</v>
      </c>
      <c r="G431" s="181">
        <v>10913.16</v>
      </c>
      <c r="H431" s="181">
        <v>34529.94</v>
      </c>
      <c r="I431" s="181">
        <v>37560.9</v>
      </c>
      <c r="J431" s="181">
        <f>[7]налоги!C212/1000</f>
        <v>30147.85011570407</v>
      </c>
      <c r="K431" s="181">
        <v>37560.9</v>
      </c>
      <c r="L431" s="181">
        <v>36893.94</v>
      </c>
      <c r="M431" s="181">
        <v>48077.5</v>
      </c>
      <c r="N431" s="181">
        <f>'К ВС'!Q184</f>
        <v>47091.98</v>
      </c>
      <c r="O431" s="181">
        <f>'налог на имущество 2021'!M3/1000</f>
        <v>62348.030535610378</v>
      </c>
      <c r="P431" s="181">
        <f>'К ВС'!U184</f>
        <v>47996.350866113011</v>
      </c>
      <c r="Q431" s="181">
        <f>'налог на имущество 2021'!N3/1000</f>
        <v>62348.030535610378</v>
      </c>
      <c r="R431" s="181">
        <f>'налог на имущество уточ. июль19'!L19/1000</f>
        <v>54562.412640000002</v>
      </c>
      <c r="S431" s="181">
        <f>'налог на имущество 2021'!O3/1000</f>
        <v>62348.030535610378</v>
      </c>
      <c r="T431" s="181">
        <f>'К ВС'!AB184</f>
        <v>60656.17</v>
      </c>
      <c r="U431" s="181">
        <f>'налог на имущество 2021'!P3/1000</f>
        <v>62348.030535610378</v>
      </c>
      <c r="V431" s="181">
        <f>T431</f>
        <v>60656.17</v>
      </c>
    </row>
    <row r="432" spans="2:22" ht="21">
      <c r="B432" s="458" t="s">
        <v>37</v>
      </c>
      <c r="C432" s="164" t="s">
        <v>315</v>
      </c>
      <c r="D432" s="16" t="s">
        <v>22</v>
      </c>
      <c r="E432" s="181">
        <v>0</v>
      </c>
      <c r="F432" s="181">
        <v>0</v>
      </c>
      <c r="G432" s="181"/>
      <c r="H432" s="181"/>
      <c r="I432" s="181"/>
      <c r="J432" s="181"/>
      <c r="K432" s="181"/>
      <c r="L432" s="181">
        <v>71.11</v>
      </c>
      <c r="M432" s="181">
        <v>42.19</v>
      </c>
      <c r="N432" s="181">
        <f>'К ВС'!Q185</f>
        <v>0</v>
      </c>
      <c r="O432" s="181">
        <f t="shared" ref="O432:U432" si="95">M432</f>
        <v>42.19</v>
      </c>
      <c r="P432" s="181">
        <f t="shared" si="95"/>
        <v>0</v>
      </c>
      <c r="Q432" s="181">
        <f t="shared" si="95"/>
        <v>42.19</v>
      </c>
      <c r="R432" s="181">
        <f>Q432</f>
        <v>42.19</v>
      </c>
      <c r="S432" s="181">
        <f t="shared" si="95"/>
        <v>42.19</v>
      </c>
      <c r="T432" s="181">
        <f t="shared" si="95"/>
        <v>42.19</v>
      </c>
      <c r="U432" s="181">
        <f t="shared" si="95"/>
        <v>42.19</v>
      </c>
      <c r="V432" s="181">
        <f>T432</f>
        <v>42.19</v>
      </c>
    </row>
    <row r="433" spans="2:22" ht="21">
      <c r="B433" s="458" t="s">
        <v>143</v>
      </c>
      <c r="C433" s="164" t="s">
        <v>1061</v>
      </c>
      <c r="D433" s="16" t="s">
        <v>22</v>
      </c>
      <c r="E433" s="181">
        <f t="shared" ref="E433:V433" si="96">SUM(E434:E435)</f>
        <v>4281.99</v>
      </c>
      <c r="F433" s="181">
        <f t="shared" si="96"/>
        <v>6226.8</v>
      </c>
      <c r="G433" s="181">
        <f t="shared" si="96"/>
        <v>6733.45</v>
      </c>
      <c r="H433" s="181">
        <f t="shared" si="96"/>
        <v>6035.64</v>
      </c>
      <c r="I433" s="181">
        <f t="shared" si="96"/>
        <v>7823</v>
      </c>
      <c r="J433" s="181">
        <f t="shared" si="96"/>
        <v>6898.6</v>
      </c>
      <c r="K433" s="181">
        <f t="shared" si="96"/>
        <v>9047.7999999999993</v>
      </c>
      <c r="L433" s="181">
        <f t="shared" si="96"/>
        <v>7771.6180000000004</v>
      </c>
      <c r="M433" s="181">
        <v>9478.7739999999994</v>
      </c>
      <c r="N433" s="181">
        <f t="shared" si="96"/>
        <v>8455.65</v>
      </c>
      <c r="O433" s="181">
        <f t="shared" si="96"/>
        <v>10900.585499999999</v>
      </c>
      <c r="P433" s="181">
        <f t="shared" si="96"/>
        <v>8662.57</v>
      </c>
      <c r="Q433" s="181">
        <f>SUM(Q434:Q435)</f>
        <v>12535.673324999998</v>
      </c>
      <c r="R433" s="181">
        <f t="shared" si="96"/>
        <v>11293.006578</v>
      </c>
      <c r="S433" s="181">
        <f>SUM(S434:S435)</f>
        <v>14416.024323749996</v>
      </c>
      <c r="T433" s="181">
        <f t="shared" si="96"/>
        <v>0</v>
      </c>
      <c r="U433" s="181">
        <f t="shared" si="96"/>
        <v>16578.427972312493</v>
      </c>
      <c r="V433" s="181">
        <f t="shared" si="96"/>
        <v>0</v>
      </c>
    </row>
    <row r="434" spans="2:22" ht="21">
      <c r="B434" s="334" t="s">
        <v>564</v>
      </c>
      <c r="C434" s="32" t="s">
        <v>1062</v>
      </c>
      <c r="D434" s="16" t="s">
        <v>22</v>
      </c>
      <c r="E434" s="167">
        <v>4281.99</v>
      </c>
      <c r="F434" s="167">
        <v>6226.8</v>
      </c>
      <c r="G434" s="167">
        <v>6733.45</v>
      </c>
      <c r="H434" s="167">
        <v>6035.64</v>
      </c>
      <c r="I434" s="167">
        <v>7823</v>
      </c>
      <c r="J434" s="167">
        <v>6898.6</v>
      </c>
      <c r="K434" s="167">
        <v>9047.7999999999993</v>
      </c>
      <c r="L434" s="167">
        <v>7771.6180000000004</v>
      </c>
      <c r="M434" s="167">
        <v>9478.77</v>
      </c>
      <c r="N434" s="167">
        <f>10774.75-N443-0.2</f>
        <v>8455.65</v>
      </c>
      <c r="O434" s="167">
        <f>M434*1.15</f>
        <v>10900.585499999999</v>
      </c>
      <c r="P434" s="167">
        <f>10981.47-P443</f>
        <v>8662.57</v>
      </c>
      <c r="Q434" s="167">
        <f>O434*1.15</f>
        <v>12535.673324999998</v>
      </c>
      <c r="R434" s="1171">
        <f>O434*1.036</f>
        <v>11293.006578</v>
      </c>
      <c r="S434" s="167">
        <f>Q434*1.15</f>
        <v>14416.024323749996</v>
      </c>
      <c r="T434" s="167"/>
      <c r="U434" s="167">
        <f>S434*1.15</f>
        <v>16578.427972312493</v>
      </c>
      <c r="V434" s="167"/>
    </row>
    <row r="435" spans="2:22">
      <c r="B435" s="334" t="s">
        <v>566</v>
      </c>
      <c r="C435" s="32" t="s">
        <v>1063</v>
      </c>
      <c r="D435" s="16" t="s">
        <v>22</v>
      </c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</row>
    <row r="436" spans="2:22">
      <c r="B436" s="458" t="s">
        <v>144</v>
      </c>
      <c r="C436" s="164" t="s">
        <v>1064</v>
      </c>
      <c r="D436" s="16" t="s">
        <v>22</v>
      </c>
      <c r="E436" s="181">
        <v>702</v>
      </c>
      <c r="F436" s="181">
        <v>3776.12</v>
      </c>
      <c r="G436" s="181">
        <v>5723.72</v>
      </c>
      <c r="H436" s="181">
        <v>3999.49</v>
      </c>
      <c r="I436" s="181">
        <v>6251.6</v>
      </c>
      <c r="J436" s="181">
        <f>[7]налоги!C216/1000</f>
        <v>4393.7471299999997</v>
      </c>
      <c r="K436" s="181">
        <v>3999.49</v>
      </c>
      <c r="L436" s="181">
        <v>4556.8900000000003</v>
      </c>
      <c r="M436" s="181">
        <v>4585.0569999999998</v>
      </c>
      <c r="N436" s="181">
        <f>'К ВС'!Q187</f>
        <v>4393.7471299999997</v>
      </c>
      <c r="O436" s="181">
        <v>8313</v>
      </c>
      <c r="P436" s="181">
        <f>'К ВС'!U187</f>
        <v>4478.1261876960152</v>
      </c>
      <c r="Q436" s="181">
        <f>O436*1.05</f>
        <v>8728.65</v>
      </c>
      <c r="R436" s="181">
        <f>Q436</f>
        <v>8728.65</v>
      </c>
      <c r="S436" s="181">
        <f>Q436</f>
        <v>8728.65</v>
      </c>
      <c r="T436" s="181"/>
      <c r="U436" s="181">
        <f>S436</f>
        <v>8728.65</v>
      </c>
      <c r="V436" s="181"/>
    </row>
    <row r="437" spans="2:22">
      <c r="B437" s="458" t="s">
        <v>172</v>
      </c>
      <c r="C437" s="164" t="s">
        <v>321</v>
      </c>
      <c r="D437" s="16" t="s">
        <v>22</v>
      </c>
      <c r="E437" s="181">
        <f t="shared" ref="E437:V437" si="97">SUM(E438:E441)</f>
        <v>309</v>
      </c>
      <c r="F437" s="181">
        <f t="shared" si="97"/>
        <v>382.67</v>
      </c>
      <c r="G437" s="181">
        <f t="shared" si="97"/>
        <v>453.43</v>
      </c>
      <c r="H437" s="181">
        <f t="shared" si="97"/>
        <v>464.19</v>
      </c>
      <c r="I437" s="181">
        <f t="shared" si="97"/>
        <v>457.96</v>
      </c>
      <c r="J437" s="181">
        <f t="shared" si="97"/>
        <v>335.91361999999998</v>
      </c>
      <c r="K437" s="181">
        <f t="shared" si="97"/>
        <v>464.19</v>
      </c>
      <c r="L437" s="181">
        <f t="shared" si="97"/>
        <v>496.2</v>
      </c>
      <c r="M437" s="181">
        <f t="shared" si="97"/>
        <v>517.53</v>
      </c>
      <c r="N437" s="181">
        <f t="shared" si="97"/>
        <v>370.34476604999998</v>
      </c>
      <c r="O437" s="181">
        <f>M437</f>
        <v>517.53</v>
      </c>
      <c r="P437" s="181">
        <f t="shared" si="97"/>
        <v>377.45699655789235</v>
      </c>
      <c r="Q437" s="181">
        <f>O437</f>
        <v>517.53</v>
      </c>
      <c r="R437" s="181">
        <f t="shared" si="97"/>
        <v>496.2</v>
      </c>
      <c r="S437" s="181">
        <f>Q437</f>
        <v>517.53</v>
      </c>
      <c r="T437" s="181">
        <f t="shared" si="97"/>
        <v>0</v>
      </c>
      <c r="U437" s="181">
        <f>S437</f>
        <v>517.53</v>
      </c>
      <c r="V437" s="181">
        <f t="shared" si="97"/>
        <v>0</v>
      </c>
    </row>
    <row r="438" spans="2:22">
      <c r="B438" s="334" t="s">
        <v>906</v>
      </c>
      <c r="C438" s="32"/>
      <c r="D438" s="16" t="s">
        <v>22</v>
      </c>
      <c r="E438" s="167">
        <v>309</v>
      </c>
      <c r="F438" s="167">
        <v>382.67</v>
      </c>
      <c r="G438" s="167">
        <v>453.43</v>
      </c>
      <c r="H438" s="167">
        <v>464.19</v>
      </c>
      <c r="I438" s="167">
        <v>457.96</v>
      </c>
      <c r="J438" s="167">
        <f>[7]налоги!C217/1000</f>
        <v>335.91361999999998</v>
      </c>
      <c r="K438" s="167">
        <v>464.19</v>
      </c>
      <c r="L438" s="167">
        <v>496.2</v>
      </c>
      <c r="M438" s="167">
        <v>517.53</v>
      </c>
      <c r="N438" s="167">
        <f>'К ВС'!Q188</f>
        <v>370.34476604999998</v>
      </c>
      <c r="O438" s="167">
        <v>496.2</v>
      </c>
      <c r="P438" s="167">
        <f>'К ВС'!U188</f>
        <v>377.45699655789235</v>
      </c>
      <c r="Q438" s="167">
        <v>496.2</v>
      </c>
      <c r="R438" s="167">
        <f>Q438</f>
        <v>496.2</v>
      </c>
      <c r="S438" s="167">
        <v>496.2</v>
      </c>
      <c r="T438" s="167"/>
      <c r="U438" s="167">
        <v>496.2</v>
      </c>
      <c r="V438" s="167"/>
    </row>
    <row r="439" spans="2:22" hidden="1">
      <c r="B439" s="334" t="s">
        <v>1065</v>
      </c>
      <c r="C439" s="32"/>
      <c r="D439" s="16" t="s">
        <v>22</v>
      </c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</row>
    <row r="440" spans="2:22" hidden="1">
      <c r="B440" s="334" t="s">
        <v>1066</v>
      </c>
      <c r="C440" s="32"/>
      <c r="D440" s="16" t="s">
        <v>22</v>
      </c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</row>
    <row r="441" spans="2:22" hidden="1">
      <c r="B441" s="334" t="s">
        <v>1067</v>
      </c>
      <c r="C441" s="32"/>
      <c r="D441" s="16" t="s">
        <v>22</v>
      </c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</row>
    <row r="442" spans="2:22" ht="63">
      <c r="B442" s="458" t="s">
        <v>174</v>
      </c>
      <c r="C442" s="164" t="s">
        <v>1068</v>
      </c>
      <c r="D442" s="16" t="s">
        <v>22</v>
      </c>
      <c r="E442" s="181">
        <f>SUM(E443:E446)</f>
        <v>0</v>
      </c>
      <c r="F442" s="181">
        <f>SUM(F443:F446)</f>
        <v>1954.3</v>
      </c>
      <c r="G442" s="181">
        <f>SUM(G443:G446)</f>
        <v>1958.14</v>
      </c>
      <c r="H442" s="181">
        <f>SUM(H443:H446)</f>
        <v>2318.91</v>
      </c>
      <c r="I442" s="181">
        <f t="shared" ref="I442:V442" si="98">SUM(I443:I446)</f>
        <v>5989.78</v>
      </c>
      <c r="J442" s="181">
        <f t="shared" si="98"/>
        <v>2382.7833799999999</v>
      </c>
      <c r="K442" s="181">
        <f t="shared" si="98"/>
        <v>2318.9</v>
      </c>
      <c r="L442" s="181">
        <f t="shared" si="98"/>
        <v>2751.3</v>
      </c>
      <c r="M442" s="181">
        <f t="shared" si="98"/>
        <v>2888.49</v>
      </c>
      <c r="N442" s="181">
        <f t="shared" si="98"/>
        <v>2785.9178240000001</v>
      </c>
      <c r="O442" s="181">
        <f t="shared" si="98"/>
        <v>3190</v>
      </c>
      <c r="P442" s="181">
        <f t="shared" si="98"/>
        <v>2794.8865977483347</v>
      </c>
      <c r="Q442" s="181">
        <f>SUM(Q443:Q446)</f>
        <v>3349.5</v>
      </c>
      <c r="R442" s="181">
        <f t="shared" si="98"/>
        <v>3349.5</v>
      </c>
      <c r="S442" s="181">
        <f>SUM(S443:S446)</f>
        <v>3349.5</v>
      </c>
      <c r="T442" s="181">
        <f t="shared" si="98"/>
        <v>0</v>
      </c>
      <c r="U442" s="181">
        <f t="shared" si="98"/>
        <v>3349.5</v>
      </c>
      <c r="V442" s="181">
        <f t="shared" si="98"/>
        <v>0</v>
      </c>
    </row>
    <row r="443" spans="2:22">
      <c r="B443" s="334" t="s">
        <v>909</v>
      </c>
      <c r="C443" s="32" t="s">
        <v>1069</v>
      </c>
      <c r="D443" s="16" t="s">
        <v>22</v>
      </c>
      <c r="E443" s="167"/>
      <c r="F443" s="167">
        <v>1954.3</v>
      </c>
      <c r="G443" s="167">
        <v>1958.14</v>
      </c>
      <c r="H443" s="167">
        <v>2318.91</v>
      </c>
      <c r="I443" s="167">
        <v>1977.72</v>
      </c>
      <c r="J443" s="167">
        <f>[7]налоги!C214/1000</f>
        <v>2382.7833799999999</v>
      </c>
      <c r="K443" s="167">
        <v>2318.9</v>
      </c>
      <c r="L443" s="167">
        <v>2751.3</v>
      </c>
      <c r="M443" s="167">
        <v>2888.49</v>
      </c>
      <c r="N443" s="167">
        <f>K443</f>
        <v>2318.9</v>
      </c>
      <c r="O443" s="167">
        <v>3190</v>
      </c>
      <c r="P443" s="167">
        <f>N443</f>
        <v>2318.9</v>
      </c>
      <c r="Q443" s="167">
        <f>O443*1.05</f>
        <v>3349.5</v>
      </c>
      <c r="R443" s="167">
        <f>Q443</f>
        <v>3349.5</v>
      </c>
      <c r="S443" s="167">
        <f>Q443</f>
        <v>3349.5</v>
      </c>
      <c r="T443" s="167"/>
      <c r="U443" s="167">
        <f>S443</f>
        <v>3349.5</v>
      </c>
      <c r="V443" s="167"/>
    </row>
    <row r="444" spans="2:22">
      <c r="B444" s="334" t="s">
        <v>1070</v>
      </c>
      <c r="C444" s="32"/>
      <c r="D444" s="16" t="s">
        <v>22</v>
      </c>
      <c r="E444" s="167"/>
      <c r="F444" s="167"/>
      <c r="G444" s="167"/>
      <c r="H444" s="167"/>
      <c r="I444" s="167">
        <v>4012.06</v>
      </c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</row>
    <row r="445" spans="2:22">
      <c r="B445" s="334" t="s">
        <v>1071</v>
      </c>
      <c r="C445" s="32" t="s">
        <v>1392</v>
      </c>
      <c r="D445" s="16" t="s">
        <v>22</v>
      </c>
      <c r="E445" s="167"/>
      <c r="F445" s="167"/>
      <c r="G445" s="167"/>
      <c r="H445" s="167"/>
      <c r="I445" s="167"/>
      <c r="J445" s="167"/>
      <c r="K445" s="167"/>
      <c r="L445" s="167"/>
      <c r="M445" s="167"/>
      <c r="N445" s="167">
        <f>'К ВС'!Q183</f>
        <v>467.01782400000013</v>
      </c>
      <c r="O445" s="167"/>
      <c r="P445" s="167">
        <f>'К ВС'!U183</f>
        <v>475.98659774833459</v>
      </c>
      <c r="Q445" s="167"/>
      <c r="R445" s="167"/>
      <c r="S445" s="167"/>
      <c r="T445" s="167"/>
      <c r="U445" s="167"/>
      <c r="V445" s="167"/>
    </row>
    <row r="446" spans="2:22">
      <c r="B446" s="334" t="s">
        <v>1072</v>
      </c>
      <c r="C446" s="32"/>
      <c r="D446" s="16" t="s">
        <v>22</v>
      </c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</row>
    <row r="447" spans="2:22">
      <c r="B447" s="428"/>
      <c r="C447" s="295" t="s">
        <v>1059</v>
      </c>
      <c r="D447" s="416" t="s">
        <v>22</v>
      </c>
      <c r="E447" s="297">
        <f t="shared" ref="E447:V447" si="99">E431+E432+E433+E436+E437+E442</f>
        <v>17728.989999999998</v>
      </c>
      <c r="F447" s="297">
        <f t="shared" si="99"/>
        <v>24227.559999999998</v>
      </c>
      <c r="G447" s="297">
        <f t="shared" si="99"/>
        <v>25781.9</v>
      </c>
      <c r="H447" s="297">
        <f t="shared" si="99"/>
        <v>47348.17</v>
      </c>
      <c r="I447" s="297">
        <f t="shared" si="99"/>
        <v>58083.24</v>
      </c>
      <c r="J447" s="297">
        <f t="shared" si="99"/>
        <v>44158.894245704068</v>
      </c>
      <c r="K447" s="297">
        <f t="shared" si="99"/>
        <v>53391.28</v>
      </c>
      <c r="L447" s="297">
        <f>L431+L432+L433+L436+L437+L442</f>
        <v>52541.058000000005</v>
      </c>
      <c r="M447" s="297">
        <f>M431+M432+M433+M436+M437+M442</f>
        <v>65589.540999999997</v>
      </c>
      <c r="N447" s="297">
        <f>N431+N432+N433+N436+N437+N442</f>
        <v>63097.639720050007</v>
      </c>
      <c r="O447" s="297">
        <f>O431+O432+O433+O436+O437+O442</f>
        <v>85311.33603561038</v>
      </c>
      <c r="P447" s="297">
        <f t="shared" si="99"/>
        <v>64309.390648115252</v>
      </c>
      <c r="Q447" s="297">
        <f t="shared" si="99"/>
        <v>87521.57386061037</v>
      </c>
      <c r="R447" s="297">
        <f t="shared" si="99"/>
        <v>78471.959217999989</v>
      </c>
      <c r="S447" s="297">
        <f t="shared" si="99"/>
        <v>89401.92485936037</v>
      </c>
      <c r="T447" s="297">
        <f t="shared" si="99"/>
        <v>60698.36</v>
      </c>
      <c r="U447" s="297">
        <f t="shared" si="99"/>
        <v>91564.328507922866</v>
      </c>
      <c r="V447" s="297">
        <f t="shared" si="99"/>
        <v>60698.36</v>
      </c>
    </row>
    <row r="448" spans="2:22">
      <c r="O448" s="118"/>
    </row>
    <row r="449" spans="2:22" ht="15.75">
      <c r="B449" s="419" t="s">
        <v>1073</v>
      </c>
      <c r="O449" s="118"/>
    </row>
    <row r="450" spans="2:22" s="332" customFormat="1" ht="21" customHeight="1">
      <c r="B450" s="1597" t="s">
        <v>539</v>
      </c>
      <c r="C450" s="1598" t="s">
        <v>540</v>
      </c>
      <c r="D450" s="1599" t="s">
        <v>541</v>
      </c>
      <c r="E450" s="1596" t="s">
        <v>4</v>
      </c>
      <c r="F450" s="1596"/>
      <c r="G450" s="1596" t="s">
        <v>5</v>
      </c>
      <c r="H450" s="1596"/>
      <c r="I450" s="1596" t="s">
        <v>6</v>
      </c>
      <c r="J450" s="1596"/>
      <c r="K450" s="1596" t="s">
        <v>7</v>
      </c>
      <c r="L450" s="1596"/>
      <c r="M450" s="1596" t="str">
        <f>M399</f>
        <v>Факт 2019 год</v>
      </c>
      <c r="N450" s="1596"/>
      <c r="O450" s="1596" t="s">
        <v>9</v>
      </c>
      <c r="P450" s="1596"/>
      <c r="Q450" s="1596" t="s">
        <v>10</v>
      </c>
      <c r="R450" s="1596"/>
      <c r="S450" s="1596" t="s">
        <v>11</v>
      </c>
      <c r="T450" s="1596"/>
      <c r="U450" s="1596" t="s">
        <v>12</v>
      </c>
      <c r="V450" s="1596"/>
    </row>
    <row r="451" spans="2:22" s="332" customFormat="1" ht="46.35" customHeight="1">
      <c r="B451" s="1597"/>
      <c r="C451" s="1598"/>
      <c r="D451" s="1599"/>
      <c r="E451" s="149" t="s">
        <v>13</v>
      </c>
      <c r="F451" s="150" t="s">
        <v>14</v>
      </c>
      <c r="G451" s="149" t="s">
        <v>13</v>
      </c>
      <c r="H451" s="150" t="s">
        <v>14</v>
      </c>
      <c r="I451" s="149" t="s">
        <v>13</v>
      </c>
      <c r="J451" s="150" t="s">
        <v>14</v>
      </c>
      <c r="K451" s="149" t="s">
        <v>13</v>
      </c>
      <c r="L451" s="150" t="s">
        <v>15</v>
      </c>
      <c r="M451" s="149" t="s">
        <v>16</v>
      </c>
      <c r="N451" s="150" t="s">
        <v>17</v>
      </c>
      <c r="O451" s="149" t="s">
        <v>16</v>
      </c>
      <c r="P451" s="150" t="s">
        <v>17</v>
      </c>
      <c r="Q451" s="149" t="s">
        <v>16</v>
      </c>
      <c r="R451" s="150" t="s">
        <v>17</v>
      </c>
      <c r="S451" s="149" t="s">
        <v>16</v>
      </c>
      <c r="T451" s="150" t="s">
        <v>17</v>
      </c>
      <c r="U451" s="149" t="s">
        <v>16</v>
      </c>
      <c r="V451" s="150" t="s">
        <v>17</v>
      </c>
    </row>
    <row r="452" spans="2:22" s="332" customFormat="1">
      <c r="B452" s="155">
        <v>1</v>
      </c>
      <c r="C452" s="155">
        <v>2</v>
      </c>
      <c r="D452" s="155">
        <v>3</v>
      </c>
      <c r="E452" s="155">
        <v>4</v>
      </c>
      <c r="F452" s="155">
        <v>5</v>
      </c>
      <c r="G452" s="155">
        <v>6</v>
      </c>
      <c r="H452" s="155">
        <v>7</v>
      </c>
      <c r="I452" s="155">
        <v>8</v>
      </c>
      <c r="J452" s="155">
        <v>9</v>
      </c>
      <c r="K452" s="155">
        <v>10</v>
      </c>
      <c r="L452" s="155">
        <v>11</v>
      </c>
      <c r="M452" s="155">
        <v>12</v>
      </c>
      <c r="N452" s="155">
        <v>13</v>
      </c>
      <c r="O452" s="155">
        <v>14</v>
      </c>
      <c r="P452" s="155">
        <v>15</v>
      </c>
      <c r="Q452" s="155">
        <v>16</v>
      </c>
      <c r="R452" s="155">
        <v>17</v>
      </c>
      <c r="S452" s="155">
        <v>18</v>
      </c>
      <c r="T452" s="155">
        <v>19</v>
      </c>
      <c r="U452" s="155">
        <v>20</v>
      </c>
      <c r="V452" s="155">
        <v>21</v>
      </c>
    </row>
    <row r="453" spans="2:22" ht="63">
      <c r="B453" s="458" t="s">
        <v>20</v>
      </c>
      <c r="C453" s="164" t="s">
        <v>1074</v>
      </c>
      <c r="D453" s="16" t="s">
        <v>22</v>
      </c>
      <c r="E453" s="181">
        <f>SUM(E454:E458)</f>
        <v>6544.98</v>
      </c>
      <c r="F453" s="181">
        <f t="shared" ref="F453:V453" si="100">SUM(F454:F458)</f>
        <v>0</v>
      </c>
      <c r="G453" s="181">
        <f t="shared" si="100"/>
        <v>0</v>
      </c>
      <c r="H453" s="181">
        <f t="shared" si="100"/>
        <v>0</v>
      </c>
      <c r="I453" s="181">
        <f t="shared" si="100"/>
        <v>0</v>
      </c>
      <c r="J453" s="181">
        <f t="shared" si="100"/>
        <v>0</v>
      </c>
      <c r="K453" s="181">
        <f t="shared" si="100"/>
        <v>0</v>
      </c>
      <c r="L453" s="181">
        <f t="shared" si="100"/>
        <v>0</v>
      </c>
      <c r="M453" s="181">
        <f t="shared" si="100"/>
        <v>0</v>
      </c>
      <c r="N453" s="181">
        <f t="shared" si="100"/>
        <v>0</v>
      </c>
      <c r="O453" s="181">
        <f t="shared" si="100"/>
        <v>0</v>
      </c>
      <c r="P453" s="181">
        <f t="shared" si="100"/>
        <v>0</v>
      </c>
      <c r="Q453" s="181">
        <f t="shared" si="100"/>
        <v>0</v>
      </c>
      <c r="R453" s="181">
        <f t="shared" si="100"/>
        <v>0</v>
      </c>
      <c r="S453" s="181">
        <f t="shared" si="100"/>
        <v>0</v>
      </c>
      <c r="T453" s="181">
        <f t="shared" si="100"/>
        <v>0</v>
      </c>
      <c r="U453" s="181">
        <f t="shared" si="100"/>
        <v>0</v>
      </c>
      <c r="V453" s="181">
        <f t="shared" si="100"/>
        <v>0</v>
      </c>
    </row>
    <row r="454" spans="2:22">
      <c r="B454" s="334" t="s">
        <v>24</v>
      </c>
      <c r="C454" s="471" t="s">
        <v>1075</v>
      </c>
      <c r="D454" s="16" t="s">
        <v>22</v>
      </c>
      <c r="E454" s="167">
        <v>6544.98</v>
      </c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</row>
    <row r="455" spans="2:22">
      <c r="B455" s="334" t="s">
        <v>37</v>
      </c>
      <c r="C455" s="471"/>
      <c r="D455" s="16" t="s">
        <v>22</v>
      </c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</row>
    <row r="456" spans="2:22">
      <c r="B456" s="334" t="s">
        <v>143</v>
      </c>
      <c r="C456" s="471"/>
      <c r="D456" s="16" t="s">
        <v>22</v>
      </c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</row>
    <row r="457" spans="2:22">
      <c r="B457" s="334" t="s">
        <v>144</v>
      </c>
      <c r="C457" s="471"/>
      <c r="D457" s="16" t="s">
        <v>22</v>
      </c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</row>
    <row r="458" spans="2:22">
      <c r="B458" s="334" t="s">
        <v>172</v>
      </c>
      <c r="C458" s="471"/>
      <c r="D458" s="16" t="s">
        <v>22</v>
      </c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</row>
    <row r="459" spans="2:22" ht="21">
      <c r="B459" s="458" t="s">
        <v>196</v>
      </c>
      <c r="C459" s="164" t="s">
        <v>1076</v>
      </c>
      <c r="D459" s="16" t="s">
        <v>22</v>
      </c>
      <c r="E459" s="181">
        <f>SUM(E460:E464)</f>
        <v>0</v>
      </c>
      <c r="F459" s="181">
        <f t="shared" ref="F459:V459" si="101">SUM(F460:F464)</f>
        <v>77361.649999999994</v>
      </c>
      <c r="G459" s="181">
        <f t="shared" si="101"/>
        <v>0</v>
      </c>
      <c r="H459" s="181">
        <f t="shared" si="101"/>
        <v>0</v>
      </c>
      <c r="I459" s="181">
        <f t="shared" si="101"/>
        <v>0</v>
      </c>
      <c r="J459" s="181">
        <f t="shared" si="101"/>
        <v>114718.96276858894</v>
      </c>
      <c r="K459" s="181">
        <f t="shared" si="101"/>
        <v>52097.64</v>
      </c>
      <c r="L459" s="181">
        <f t="shared" si="101"/>
        <v>0</v>
      </c>
      <c r="M459" s="181">
        <f t="shared" si="101"/>
        <v>100164.28</v>
      </c>
      <c r="N459" s="181">
        <f t="shared" si="101"/>
        <v>0</v>
      </c>
      <c r="O459" s="181">
        <f t="shared" si="101"/>
        <v>0</v>
      </c>
      <c r="P459" s="181">
        <f t="shared" si="101"/>
        <v>0</v>
      </c>
      <c r="Q459" s="181">
        <f t="shared" si="101"/>
        <v>0</v>
      </c>
      <c r="R459" s="181">
        <f t="shared" si="101"/>
        <v>0</v>
      </c>
      <c r="S459" s="181">
        <f t="shared" si="101"/>
        <v>0</v>
      </c>
      <c r="T459" s="181">
        <f t="shared" si="101"/>
        <v>0</v>
      </c>
      <c r="U459" s="181">
        <f t="shared" si="101"/>
        <v>0</v>
      </c>
      <c r="V459" s="181">
        <f t="shared" si="101"/>
        <v>0</v>
      </c>
    </row>
    <row r="460" spans="2:22">
      <c r="B460" s="334" t="s">
        <v>198</v>
      </c>
      <c r="C460" s="471" t="s">
        <v>1077</v>
      </c>
      <c r="D460" s="16" t="s">
        <v>22</v>
      </c>
      <c r="E460" s="167"/>
      <c r="F460" s="167">
        <v>77361.649999999994</v>
      </c>
      <c r="G460" s="167"/>
      <c r="H460" s="167"/>
      <c r="I460" s="167"/>
      <c r="J460" s="167"/>
      <c r="K460" s="167">
        <v>52097.64</v>
      </c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</row>
    <row r="461" spans="2:22">
      <c r="B461" s="334" t="s">
        <v>202</v>
      </c>
      <c r="C461" s="471" t="s">
        <v>1078</v>
      </c>
      <c r="D461" s="16" t="s">
        <v>22</v>
      </c>
      <c r="E461" s="167"/>
      <c r="F461" s="167"/>
      <c r="G461" s="167"/>
      <c r="H461" s="167"/>
      <c r="I461" s="167"/>
      <c r="J461" s="167">
        <f>'[7]выпад. доходы'!B7</f>
        <v>114718.96276858894</v>
      </c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</row>
    <row r="462" spans="2:22">
      <c r="B462" s="334" t="s">
        <v>206</v>
      </c>
      <c r="C462" s="471" t="s">
        <v>1289</v>
      </c>
      <c r="D462" s="16" t="s">
        <v>22</v>
      </c>
      <c r="E462" s="167"/>
      <c r="F462" s="167"/>
      <c r="G462" s="167"/>
      <c r="H462" s="167"/>
      <c r="I462" s="167"/>
      <c r="J462" s="167"/>
      <c r="K462" s="167"/>
      <c r="L462" s="167"/>
      <c r="M462" s="167">
        <v>100164.28</v>
      </c>
      <c r="N462" s="167"/>
      <c r="O462" s="167"/>
      <c r="P462" s="167"/>
      <c r="Q462" s="167"/>
      <c r="R462" s="167"/>
      <c r="S462" s="167"/>
      <c r="T462" s="167"/>
      <c r="U462" s="167"/>
      <c r="V462" s="167"/>
    </row>
    <row r="463" spans="2:22">
      <c r="B463" s="334" t="s">
        <v>572</v>
      </c>
      <c r="C463" s="471"/>
      <c r="D463" s="16" t="s">
        <v>22</v>
      </c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</row>
    <row r="464" spans="2:22">
      <c r="B464" s="334" t="s">
        <v>574</v>
      </c>
      <c r="C464" s="471"/>
      <c r="D464" s="16" t="s">
        <v>22</v>
      </c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</row>
    <row r="465" spans="2:22" ht="52.5">
      <c r="B465" s="458" t="s">
        <v>579</v>
      </c>
      <c r="C465" s="164" t="s">
        <v>1079</v>
      </c>
      <c r="D465" s="16" t="s">
        <v>22</v>
      </c>
      <c r="E465" s="181">
        <f>SUM(E466:E470)</f>
        <v>0</v>
      </c>
      <c r="F465" s="181">
        <f t="shared" ref="F465:V465" si="102">SUM(F466:F470)</f>
        <v>0</v>
      </c>
      <c r="G465" s="181">
        <f t="shared" si="102"/>
        <v>0</v>
      </c>
      <c r="H465" s="181">
        <f t="shared" si="102"/>
        <v>0</v>
      </c>
      <c r="I465" s="181">
        <f t="shared" si="102"/>
        <v>0</v>
      </c>
      <c r="J465" s="181">
        <f t="shared" si="102"/>
        <v>0</v>
      </c>
      <c r="K465" s="181">
        <f t="shared" si="102"/>
        <v>0</v>
      </c>
      <c r="L465" s="181">
        <f t="shared" si="102"/>
        <v>0</v>
      </c>
      <c r="M465" s="181">
        <f t="shared" si="102"/>
        <v>0</v>
      </c>
      <c r="N465" s="181">
        <f t="shared" si="102"/>
        <v>0</v>
      </c>
      <c r="O465" s="181">
        <f t="shared" si="102"/>
        <v>0</v>
      </c>
      <c r="P465" s="181">
        <f t="shared" si="102"/>
        <v>0</v>
      </c>
      <c r="Q465" s="181">
        <f t="shared" si="102"/>
        <v>0</v>
      </c>
      <c r="R465" s="181">
        <f t="shared" si="102"/>
        <v>0</v>
      </c>
      <c r="S465" s="181">
        <f t="shared" si="102"/>
        <v>0</v>
      </c>
      <c r="T465" s="181">
        <f t="shared" si="102"/>
        <v>0</v>
      </c>
      <c r="U465" s="181">
        <f t="shared" si="102"/>
        <v>0</v>
      </c>
      <c r="V465" s="181">
        <f t="shared" si="102"/>
        <v>0</v>
      </c>
    </row>
    <row r="466" spans="2:22">
      <c r="B466" s="334" t="s">
        <v>226</v>
      </c>
      <c r="C466" s="471"/>
      <c r="D466" s="16" t="s">
        <v>22</v>
      </c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</row>
    <row r="467" spans="2:22">
      <c r="B467" s="334" t="s">
        <v>244</v>
      </c>
      <c r="C467" s="471"/>
      <c r="D467" s="16" t="s">
        <v>22</v>
      </c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</row>
    <row r="468" spans="2:22">
      <c r="B468" s="334" t="s">
        <v>263</v>
      </c>
      <c r="C468" s="471"/>
      <c r="D468" s="16" t="s">
        <v>22</v>
      </c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</row>
    <row r="469" spans="2:22">
      <c r="B469" s="334" t="s">
        <v>264</v>
      </c>
      <c r="C469" s="471"/>
      <c r="D469" s="16" t="s">
        <v>22</v>
      </c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</row>
    <row r="470" spans="2:22">
      <c r="B470" s="334" t="s">
        <v>266</v>
      </c>
      <c r="C470" s="471"/>
      <c r="D470" s="16" t="s">
        <v>22</v>
      </c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</row>
    <row r="471" spans="2:22" ht="31.5">
      <c r="B471" s="458" t="s">
        <v>582</v>
      </c>
      <c r="C471" s="164" t="s">
        <v>1080</v>
      </c>
      <c r="D471" s="16"/>
      <c r="E471" s="185">
        <f>E472+E473</f>
        <v>26538.489999999998</v>
      </c>
      <c r="F471" s="185">
        <f t="shared" ref="F471:K471" si="103">F472+F473</f>
        <v>0</v>
      </c>
      <c r="G471" s="185">
        <f t="shared" si="103"/>
        <v>0</v>
      </c>
      <c r="H471" s="185">
        <f t="shared" si="103"/>
        <v>0</v>
      </c>
      <c r="I471" s="185">
        <f t="shared" si="103"/>
        <v>0</v>
      </c>
      <c r="J471" s="185">
        <f t="shared" si="103"/>
        <v>0</v>
      </c>
      <c r="K471" s="185">
        <f t="shared" si="103"/>
        <v>-35262.69</v>
      </c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</row>
    <row r="472" spans="2:22" ht="42">
      <c r="B472" s="334" t="s">
        <v>286</v>
      </c>
      <c r="C472" s="472" t="s">
        <v>1081</v>
      </c>
      <c r="D472" s="16"/>
      <c r="E472" s="167">
        <v>5465.62</v>
      </c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</row>
    <row r="473" spans="2:22" ht="42">
      <c r="B473" s="334" t="s">
        <v>1014</v>
      </c>
      <c r="C473" s="472" t="s">
        <v>1082</v>
      </c>
      <c r="D473" s="16" t="s">
        <v>22</v>
      </c>
      <c r="E473" s="167">
        <v>21072.87</v>
      </c>
      <c r="F473" s="167"/>
      <c r="G473" s="167"/>
      <c r="H473" s="167"/>
      <c r="I473" s="167"/>
      <c r="J473" s="167"/>
      <c r="K473" s="167">
        <v>-35262.69</v>
      </c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</row>
    <row r="474" spans="2:22">
      <c r="B474" s="458"/>
      <c r="C474" s="295" t="s">
        <v>1059</v>
      </c>
      <c r="D474" s="416" t="s">
        <v>22</v>
      </c>
      <c r="E474" s="297">
        <f>E471-E453</f>
        <v>19993.509999999998</v>
      </c>
      <c r="F474" s="297">
        <f>F453+F459+F465</f>
        <v>77361.649999999994</v>
      </c>
      <c r="G474" s="297">
        <f>G453+G459+G465</f>
        <v>0</v>
      </c>
      <c r="H474" s="297">
        <f>H453+H459+H465</f>
        <v>0</v>
      </c>
      <c r="I474" s="297">
        <f>I453+I459+I465</f>
        <v>0</v>
      </c>
      <c r="J474" s="297">
        <f>J453+J459+J465</f>
        <v>114718.96276858894</v>
      </c>
      <c r="K474" s="297">
        <f>K453+K459+K465+K471</f>
        <v>16834.949999999997</v>
      </c>
      <c r="L474" s="297">
        <f t="shared" ref="L474:V474" si="104">L453+L459+L465+L471</f>
        <v>0</v>
      </c>
      <c r="M474" s="297">
        <f t="shared" si="104"/>
        <v>100164.28</v>
      </c>
      <c r="N474" s="297">
        <f t="shared" si="104"/>
        <v>0</v>
      </c>
      <c r="O474" s="297">
        <f t="shared" si="104"/>
        <v>0</v>
      </c>
      <c r="P474" s="297">
        <f t="shared" si="104"/>
        <v>0</v>
      </c>
      <c r="Q474" s="297">
        <f t="shared" si="104"/>
        <v>0</v>
      </c>
      <c r="R474" s="297">
        <f t="shared" si="104"/>
        <v>0</v>
      </c>
      <c r="S474" s="297">
        <f t="shared" si="104"/>
        <v>0</v>
      </c>
      <c r="T474" s="297">
        <f t="shared" si="104"/>
        <v>0</v>
      </c>
      <c r="U474" s="297">
        <f t="shared" si="104"/>
        <v>0</v>
      </c>
      <c r="V474" s="297">
        <f t="shared" si="104"/>
        <v>0</v>
      </c>
    </row>
    <row r="475" spans="2:22">
      <c r="B475" s="458" t="s">
        <v>585</v>
      </c>
      <c r="C475" s="164" t="s">
        <v>1083</v>
      </c>
      <c r="D475" s="16" t="s">
        <v>22</v>
      </c>
      <c r="E475" s="167">
        <v>7440.55</v>
      </c>
      <c r="F475" s="167">
        <v>8368.32</v>
      </c>
      <c r="G475" s="167"/>
      <c r="H475" s="167"/>
      <c r="I475" s="167"/>
      <c r="J475" s="167"/>
      <c r="K475" s="167">
        <v>8979.2000000000007</v>
      </c>
      <c r="L475" s="167">
        <f>'[9]сбытовые расходы'!P9/1000</f>
        <v>8687.5647300000001</v>
      </c>
      <c r="M475" s="167">
        <f>'[9]сбытовые расходы'!Q9/1000</f>
        <v>8687.5647300000001</v>
      </c>
      <c r="N475" s="167"/>
      <c r="O475" s="167">
        <f>'[9]сбытовые расходы'!S9/1000</f>
        <v>8088.3230241000001</v>
      </c>
      <c r="P475" s="167"/>
      <c r="Q475" s="167">
        <f>'[9]сбытовые расходы'!T9/1000</f>
        <v>8088.3230241000001</v>
      </c>
      <c r="R475" s="167"/>
      <c r="S475" s="167">
        <f>'[9]сбытовые расходы'!U9/1000</f>
        <v>8088.3230241000001</v>
      </c>
      <c r="T475" s="167"/>
      <c r="U475" s="167">
        <f>'[9]сбытовые расходы'!V9/1000</f>
        <v>8088.3230241000001</v>
      </c>
      <c r="V475" s="167"/>
    </row>
  </sheetData>
  <mergeCells count="189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88:L88"/>
    <mergeCell ref="J2:O2"/>
    <mergeCell ref="J3:O3"/>
    <mergeCell ref="J5:O5"/>
    <mergeCell ref="M95:N95"/>
    <mergeCell ref="O95:P95"/>
    <mergeCell ref="Q95:R95"/>
    <mergeCell ref="S95:T95"/>
    <mergeCell ref="U95:V95"/>
    <mergeCell ref="G160:L160"/>
    <mergeCell ref="G89:L89"/>
    <mergeCell ref="G91:L91"/>
    <mergeCell ref="B95:B96"/>
    <mergeCell ref="C95:C96"/>
    <mergeCell ref="D95:D96"/>
    <mergeCell ref="E95:F95"/>
    <mergeCell ref="G95:H95"/>
    <mergeCell ref="I95:J95"/>
    <mergeCell ref="K95:L95"/>
    <mergeCell ref="M166:N166"/>
    <mergeCell ref="O166:P166"/>
    <mergeCell ref="Q166:R166"/>
    <mergeCell ref="S166:T166"/>
    <mergeCell ref="U166:V166"/>
    <mergeCell ref="G177:L177"/>
    <mergeCell ref="G161:L161"/>
    <mergeCell ref="G163:L163"/>
    <mergeCell ref="B166:B167"/>
    <mergeCell ref="C166:C167"/>
    <mergeCell ref="D166:D167"/>
    <mergeCell ref="E166:F166"/>
    <mergeCell ref="G166:H166"/>
    <mergeCell ref="I166:J166"/>
    <mergeCell ref="K166:L166"/>
    <mergeCell ref="M183:N183"/>
    <mergeCell ref="O183:P183"/>
    <mergeCell ref="Q183:R183"/>
    <mergeCell ref="S183:T183"/>
    <mergeCell ref="U183:V183"/>
    <mergeCell ref="G194:L194"/>
    <mergeCell ref="G178:L178"/>
    <mergeCell ref="G180:L180"/>
    <mergeCell ref="B183:B184"/>
    <mergeCell ref="C183:C184"/>
    <mergeCell ref="D183:D184"/>
    <mergeCell ref="E183:F183"/>
    <mergeCell ref="G183:H183"/>
    <mergeCell ref="I183:J183"/>
    <mergeCell ref="K183:L183"/>
    <mergeCell ref="M200:N200"/>
    <mergeCell ref="O200:P200"/>
    <mergeCell ref="Q200:R200"/>
    <mergeCell ref="S200:T200"/>
    <mergeCell ref="U200:V200"/>
    <mergeCell ref="G217:L217"/>
    <mergeCell ref="G195:L195"/>
    <mergeCell ref="G197:L197"/>
    <mergeCell ref="B200:B201"/>
    <mergeCell ref="C200:C201"/>
    <mergeCell ref="D200:D201"/>
    <mergeCell ref="E200:F200"/>
    <mergeCell ref="G200:H200"/>
    <mergeCell ref="I200:J200"/>
    <mergeCell ref="K200:L200"/>
    <mergeCell ref="G218:L218"/>
    <mergeCell ref="G220:L220"/>
    <mergeCell ref="B223:B224"/>
    <mergeCell ref="C223:C224"/>
    <mergeCell ref="D223:D224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B238:B239"/>
    <mergeCell ref="C238:C239"/>
    <mergeCell ref="D238:D239"/>
    <mergeCell ref="E238:F238"/>
    <mergeCell ref="G238:H238"/>
    <mergeCell ref="U238:V238"/>
    <mergeCell ref="I238:J238"/>
    <mergeCell ref="K238:L238"/>
    <mergeCell ref="M238:N238"/>
    <mergeCell ref="O238:P238"/>
    <mergeCell ref="Q238:R238"/>
    <mergeCell ref="S238:T238"/>
    <mergeCell ref="Q260:R260"/>
    <mergeCell ref="S260:T260"/>
    <mergeCell ref="U260:V260"/>
    <mergeCell ref="B277:B278"/>
    <mergeCell ref="C277:C278"/>
    <mergeCell ref="D277:D278"/>
    <mergeCell ref="E277:F277"/>
    <mergeCell ref="G277:H277"/>
    <mergeCell ref="I277:J277"/>
    <mergeCell ref="K277:L277"/>
    <mergeCell ref="M277:N277"/>
    <mergeCell ref="O277:P277"/>
    <mergeCell ref="Q277:R277"/>
    <mergeCell ref="S277:T277"/>
    <mergeCell ref="U277:V277"/>
    <mergeCell ref="B260:B261"/>
    <mergeCell ref="C260:C261"/>
    <mergeCell ref="D260:D261"/>
    <mergeCell ref="E260:F260"/>
    <mergeCell ref="G260:H260"/>
    <mergeCell ref="I260:J260"/>
    <mergeCell ref="K260:L260"/>
    <mergeCell ref="M260:N260"/>
    <mergeCell ref="O260:P260"/>
    <mergeCell ref="B306:B307"/>
    <mergeCell ref="C306:C307"/>
    <mergeCell ref="D306:D307"/>
    <mergeCell ref="E306:F306"/>
    <mergeCell ref="G306:H306"/>
    <mergeCell ref="B338:B339"/>
    <mergeCell ref="C338:C339"/>
    <mergeCell ref="D338:D339"/>
    <mergeCell ref="E338:F338"/>
    <mergeCell ref="G338:H338"/>
    <mergeCell ref="U338:V338"/>
    <mergeCell ref="U306:V306"/>
    <mergeCell ref="I332:N332"/>
    <mergeCell ref="I333:N333"/>
    <mergeCell ref="I335:N335"/>
    <mergeCell ref="O306:P306"/>
    <mergeCell ref="Q306:R306"/>
    <mergeCell ref="S306:T306"/>
    <mergeCell ref="K399:L399"/>
    <mergeCell ref="M399:N399"/>
    <mergeCell ref="O399:P399"/>
    <mergeCell ref="Q399:R399"/>
    <mergeCell ref="S399:T399"/>
    <mergeCell ref="U399:V399"/>
    <mergeCell ref="I338:J338"/>
    <mergeCell ref="I306:J306"/>
    <mergeCell ref="K306:L306"/>
    <mergeCell ref="M306:N306"/>
    <mergeCell ref="K338:L338"/>
    <mergeCell ref="M338:N338"/>
    <mergeCell ref="O338:P338"/>
    <mergeCell ref="Q338:R338"/>
    <mergeCell ref="S338:T338"/>
    <mergeCell ref="B399:B400"/>
    <mergeCell ref="C399:C400"/>
    <mergeCell ref="D399:D400"/>
    <mergeCell ref="E399:F399"/>
    <mergeCell ref="G399:H399"/>
    <mergeCell ref="I399:J399"/>
    <mergeCell ref="K428:L428"/>
    <mergeCell ref="M428:N428"/>
    <mergeCell ref="O428:P428"/>
    <mergeCell ref="Q428:R428"/>
    <mergeCell ref="S428:T428"/>
    <mergeCell ref="U428:V428"/>
    <mergeCell ref="B428:B429"/>
    <mergeCell ref="C428:C429"/>
    <mergeCell ref="D428:D429"/>
    <mergeCell ref="E428:F428"/>
    <mergeCell ref="G428:H428"/>
    <mergeCell ref="I428:J428"/>
    <mergeCell ref="K450:L450"/>
    <mergeCell ref="M450:N450"/>
    <mergeCell ref="O450:P450"/>
    <mergeCell ref="Q450:R450"/>
    <mergeCell ref="S450:T450"/>
    <mergeCell ref="U450:V450"/>
    <mergeCell ref="B450:B451"/>
    <mergeCell ref="C450:C451"/>
    <mergeCell ref="D450:D451"/>
    <mergeCell ref="E450:F450"/>
    <mergeCell ref="G450:H450"/>
    <mergeCell ref="I450:J450"/>
  </mergeCells>
  <pageMargins left="0.11811023622047245" right="0.11811023622047245" top="0" bottom="0" header="0.31496062992125984" footer="0.31496062992125984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AF68"/>
  <sheetViews>
    <sheetView workbookViewId="0">
      <selection activeCell="AE5" sqref="AE5"/>
    </sheetView>
  </sheetViews>
  <sheetFormatPr defaultColWidth="8.85546875" defaultRowHeight="15" outlineLevelCol="1"/>
  <cols>
    <col min="1" max="1" width="4.42578125" customWidth="1"/>
    <col min="2" max="2" width="8.85546875" style="328"/>
    <col min="3" max="3" width="21.7109375" customWidth="1"/>
    <col min="5" max="5" width="11.85546875" hidden="1" customWidth="1" outlineLevel="1"/>
    <col min="6" max="6" width="12.85546875" hidden="1" customWidth="1" outlineLevel="1"/>
    <col min="7" max="7" width="11.42578125" hidden="1" customWidth="1" outlineLevel="1"/>
    <col min="8" max="8" width="10.42578125" hidden="1" customWidth="1" outlineLevel="1"/>
    <col min="9" max="9" width="11.140625" hidden="1" customWidth="1" outlineLevel="1"/>
    <col min="10" max="12" width="11.42578125" hidden="1" customWidth="1" outlineLevel="1"/>
    <col min="13" max="13" width="10.85546875" customWidth="1" collapsed="1"/>
    <col min="14" max="14" width="17.85546875" customWidth="1"/>
    <col min="15" max="15" width="12" customWidth="1"/>
    <col min="16" max="16" width="8.85546875" customWidth="1"/>
    <col min="17" max="18" width="10" customWidth="1"/>
    <col min="19" max="19" width="12" customWidth="1"/>
    <col min="20" max="20" width="11.140625" customWidth="1" outlineLevel="1"/>
    <col min="21" max="21" width="9.28515625" customWidth="1" outlineLevel="1"/>
    <col min="22" max="22" width="10.7109375" customWidth="1" outlineLevel="1"/>
    <col min="23" max="23" width="8.85546875" customWidth="1" outlineLevel="1"/>
    <col min="24" max="24" width="9.85546875" customWidth="1" outlineLevel="1"/>
    <col min="25" max="25" width="8.5703125" customWidth="1" outlineLevel="1"/>
    <col min="26" max="26" width="10" customWidth="1" outlineLevel="1"/>
    <col min="27" max="27" width="8.85546875" customWidth="1" outlineLevel="1"/>
  </cols>
  <sheetData>
    <row r="1" spans="2:28">
      <c r="AB1" t="s">
        <v>1</v>
      </c>
    </row>
    <row r="2" spans="2:28" ht="15.75">
      <c r="B2" s="329" t="s">
        <v>1272</v>
      </c>
      <c r="C2" s="330"/>
      <c r="D2" s="331"/>
      <c r="E2" s="330"/>
      <c r="F2" s="330"/>
      <c r="G2" s="330"/>
      <c r="H2" s="330"/>
      <c r="I2" s="330">
        <v>1.0296000000000001</v>
      </c>
      <c r="J2" s="330"/>
      <c r="K2" s="330"/>
      <c r="L2" s="330"/>
      <c r="M2" s="330">
        <v>1.0266299999999999</v>
      </c>
      <c r="N2" s="330"/>
      <c r="O2">
        <v>1.04</v>
      </c>
      <c r="T2">
        <v>1.04</v>
      </c>
      <c r="V2">
        <v>1.04</v>
      </c>
      <c r="X2">
        <v>1.04</v>
      </c>
      <c r="Z2">
        <v>1.04</v>
      </c>
    </row>
    <row r="3" spans="2:28" s="332" customFormat="1" ht="29.45" customHeight="1">
      <c r="B3" s="1597" t="s">
        <v>539</v>
      </c>
      <c r="C3" s="1598" t="s">
        <v>540</v>
      </c>
      <c r="D3" s="1599" t="s">
        <v>541</v>
      </c>
      <c r="E3" s="1596" t="s">
        <v>4</v>
      </c>
      <c r="F3" s="1596"/>
      <c r="G3" s="1596" t="s">
        <v>5</v>
      </c>
      <c r="H3" s="1596"/>
      <c r="I3" s="1596" t="s">
        <v>6</v>
      </c>
      <c r="J3" s="1596"/>
      <c r="K3" s="1602" t="s">
        <v>695</v>
      </c>
      <c r="L3" s="1603"/>
      <c r="M3" s="1596" t="s">
        <v>7</v>
      </c>
      <c r="N3" s="1596"/>
      <c r="O3" s="1602" t="s">
        <v>8</v>
      </c>
      <c r="P3" s="1604"/>
      <c r="Q3" s="1604"/>
      <c r="R3" s="1604"/>
      <c r="S3" s="1603"/>
      <c r="T3" s="1596" t="s">
        <v>9</v>
      </c>
      <c r="U3" s="1596"/>
      <c r="V3" s="1596" t="s">
        <v>10</v>
      </c>
      <c r="W3" s="1596"/>
      <c r="X3" s="1596" t="s">
        <v>11</v>
      </c>
      <c r="Y3" s="1596"/>
      <c r="Z3" s="1596" t="s">
        <v>12</v>
      </c>
      <c r="AA3" s="1596"/>
    </row>
    <row r="4" spans="2:28" s="332" customFormat="1" ht="53.25" customHeight="1">
      <c r="B4" s="1597"/>
      <c r="C4" s="1598"/>
      <c r="D4" s="1599"/>
      <c r="E4" s="149" t="s">
        <v>13</v>
      </c>
      <c r="F4" s="150" t="s">
        <v>14</v>
      </c>
      <c r="G4" s="149" t="s">
        <v>13</v>
      </c>
      <c r="H4" s="150" t="s">
        <v>14</v>
      </c>
      <c r="I4" s="149" t="s">
        <v>13</v>
      </c>
      <c r="J4" s="150" t="s">
        <v>696</v>
      </c>
      <c r="K4" s="150" t="s">
        <v>697</v>
      </c>
      <c r="L4" s="150" t="s">
        <v>698</v>
      </c>
      <c r="M4" s="149" t="s">
        <v>13</v>
      </c>
      <c r="N4" s="150" t="s">
        <v>780</v>
      </c>
      <c r="O4" s="149" t="s">
        <v>16</v>
      </c>
      <c r="P4" s="150" t="s">
        <v>17</v>
      </c>
      <c r="Q4" s="150" t="s">
        <v>1406</v>
      </c>
      <c r="R4" s="150" t="s">
        <v>1404</v>
      </c>
      <c r="S4" s="150" t="s">
        <v>1405</v>
      </c>
      <c r="T4" s="149" t="s">
        <v>16</v>
      </c>
      <c r="U4" s="150" t="s">
        <v>17</v>
      </c>
      <c r="V4" s="149" t="s">
        <v>16</v>
      </c>
      <c r="W4" s="150" t="s">
        <v>17</v>
      </c>
      <c r="X4" s="149" t="s">
        <v>16</v>
      </c>
      <c r="Y4" s="150" t="s">
        <v>17</v>
      </c>
      <c r="Z4" s="149" t="s">
        <v>16</v>
      </c>
      <c r="AA4" s="150" t="s">
        <v>17</v>
      </c>
    </row>
    <row r="5" spans="2:28" s="332" customFormat="1">
      <c r="B5" s="155">
        <v>1</v>
      </c>
      <c r="C5" s="155">
        <v>2</v>
      </c>
      <c r="D5" s="155">
        <v>3</v>
      </c>
      <c r="E5" s="155">
        <v>4</v>
      </c>
      <c r="F5" s="155">
        <v>5</v>
      </c>
      <c r="G5" s="155">
        <v>6</v>
      </c>
      <c r="H5" s="155">
        <v>7</v>
      </c>
      <c r="I5" s="155">
        <v>8</v>
      </c>
      <c r="J5" s="155">
        <v>9</v>
      </c>
      <c r="K5" s="155"/>
      <c r="L5" s="155"/>
      <c r="M5" s="155">
        <v>10</v>
      </c>
      <c r="N5" s="155">
        <v>11</v>
      </c>
      <c r="O5" s="155">
        <v>12</v>
      </c>
      <c r="P5" s="155">
        <v>13</v>
      </c>
      <c r="Q5" s="155"/>
      <c r="R5" s="155"/>
      <c r="S5" s="155"/>
      <c r="T5" s="155">
        <v>14</v>
      </c>
      <c r="U5" s="155">
        <v>15</v>
      </c>
      <c r="V5" s="155">
        <v>16</v>
      </c>
      <c r="W5" s="155">
        <v>17</v>
      </c>
      <c r="X5" s="155">
        <v>18</v>
      </c>
      <c r="Y5" s="155">
        <v>19</v>
      </c>
      <c r="Z5" s="155">
        <v>20</v>
      </c>
      <c r="AA5" s="155">
        <v>21</v>
      </c>
    </row>
    <row r="6" spans="2:28">
      <c r="B6" s="333">
        <v>1</v>
      </c>
      <c r="C6" s="15" t="s">
        <v>187</v>
      </c>
      <c r="D6" s="16" t="s">
        <v>22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2:28" ht="42">
      <c r="B7" s="334" t="s">
        <v>24</v>
      </c>
      <c r="C7" s="21" t="s">
        <v>1273</v>
      </c>
      <c r="D7" s="16" t="s">
        <v>22</v>
      </c>
      <c r="E7" s="167">
        <v>50282.3</v>
      </c>
      <c r="F7" s="167"/>
      <c r="G7" s="167"/>
      <c r="H7" s="167"/>
      <c r="I7" s="167"/>
      <c r="J7" s="167"/>
      <c r="K7" s="167"/>
      <c r="L7" s="167"/>
      <c r="M7" s="167"/>
      <c r="N7" s="167">
        <f>69.031+52.631+31.085</f>
        <v>152.74700000000001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>
        <f>E7*0.563</f>
        <v>28308.9349</v>
      </c>
    </row>
    <row r="8" spans="2:28" ht="52.5">
      <c r="B8" s="334" t="s">
        <v>37</v>
      </c>
      <c r="C8" s="40" t="s">
        <v>191</v>
      </c>
      <c r="D8" s="16" t="s">
        <v>22</v>
      </c>
      <c r="E8" s="167">
        <v>15185.25</v>
      </c>
      <c r="F8" s="167"/>
      <c r="G8" s="167"/>
      <c r="H8" s="167"/>
      <c r="I8" s="167"/>
      <c r="J8" s="167"/>
      <c r="K8" s="167"/>
      <c r="L8" s="167"/>
      <c r="M8" s="167"/>
      <c r="N8" s="167">
        <v>15.672000000000001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>
        <f>E8*0.563</f>
        <v>8549.2957499999993</v>
      </c>
    </row>
    <row r="9" spans="2:28">
      <c r="B9" s="335" t="s">
        <v>143</v>
      </c>
      <c r="C9" s="336" t="s">
        <v>699</v>
      </c>
      <c r="D9" s="337" t="s">
        <v>22</v>
      </c>
      <c r="E9" s="338">
        <f>SUM(E10:E48)</f>
        <v>24289.609999999993</v>
      </c>
      <c r="F9" s="338">
        <f>SUM(F10:F48)</f>
        <v>76916.349999999991</v>
      </c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167"/>
      <c r="U9" s="167"/>
      <c r="V9" s="167"/>
      <c r="W9" s="167"/>
      <c r="X9" s="167"/>
      <c r="Y9" s="167"/>
      <c r="Z9" s="167"/>
      <c r="AA9" s="167"/>
      <c r="AB9">
        <f>E9*0.563</f>
        <v>13675.050429999996</v>
      </c>
    </row>
    <row r="10" spans="2:28">
      <c r="B10" s="334" t="s">
        <v>564</v>
      </c>
      <c r="C10" s="48" t="s">
        <v>700</v>
      </c>
      <c r="D10" s="16" t="s">
        <v>22</v>
      </c>
      <c r="E10" s="167">
        <v>328.34</v>
      </c>
      <c r="F10" s="167">
        <v>329.8</v>
      </c>
      <c r="G10" s="167">
        <v>353.95</v>
      </c>
      <c r="H10" s="167">
        <v>737.24</v>
      </c>
      <c r="I10" s="167">
        <f>G10*$I$2</f>
        <v>364.42692</v>
      </c>
      <c r="J10" s="167">
        <v>169.54</v>
      </c>
      <c r="K10" s="167"/>
      <c r="L10" s="167"/>
      <c r="M10" s="167">
        <f>I10*$M$2</f>
        <v>374.13160887959998</v>
      </c>
      <c r="N10" s="167">
        <v>104.12</v>
      </c>
      <c r="O10" s="167">
        <f>N10*O2</f>
        <v>108.2848</v>
      </c>
      <c r="P10" s="167"/>
      <c r="Q10" s="167">
        <f>R10+S10</f>
        <v>0</v>
      </c>
      <c r="R10" s="167"/>
      <c r="S10" s="167"/>
      <c r="T10" s="167">
        <f>Q10*$T$2</f>
        <v>0</v>
      </c>
      <c r="U10" s="167"/>
      <c r="V10" s="167">
        <f>T10*$V$2</f>
        <v>0</v>
      </c>
      <c r="W10" s="167"/>
      <c r="X10" s="167">
        <f>V10*$X$2</f>
        <v>0</v>
      </c>
      <c r="Y10" s="167"/>
      <c r="Z10" s="167">
        <f>X10*$Z$2</f>
        <v>0</v>
      </c>
      <c r="AA10" s="167"/>
      <c r="AB10">
        <f>SUM(AB7:AB9)</f>
        <v>50533.281079999993</v>
      </c>
    </row>
    <row r="11" spans="2:28">
      <c r="B11" s="334" t="s">
        <v>566</v>
      </c>
      <c r="C11" s="48" t="s">
        <v>289</v>
      </c>
      <c r="D11" s="16" t="s">
        <v>22</v>
      </c>
      <c r="E11" s="167">
        <v>8733</v>
      </c>
      <c r="F11" s="167">
        <v>25446.080000000002</v>
      </c>
      <c r="G11" s="167">
        <v>14626.85</v>
      </c>
      <c r="H11" s="167">
        <v>24435.4</v>
      </c>
      <c r="I11" s="167">
        <f t="shared" ref="I11:I50" si="0">G11*$I$2</f>
        <v>15059.804760000001</v>
      </c>
      <c r="J11" s="167">
        <v>13568.8</v>
      </c>
      <c r="K11" s="167"/>
      <c r="L11" s="167"/>
      <c r="M11" s="167">
        <f t="shared" ref="M11:M51" si="1">I11*$M$2</f>
        <v>15460.8473607588</v>
      </c>
      <c r="N11" s="167">
        <v>10166.469999999999</v>
      </c>
      <c r="O11" s="167">
        <f t="shared" ref="O11:O50" si="2">N11*$O$2</f>
        <v>10573.1288</v>
      </c>
      <c r="P11" s="167"/>
      <c r="Q11" s="167">
        <f>R11+S11</f>
        <v>0</v>
      </c>
      <c r="R11" s="167"/>
      <c r="S11" s="167"/>
      <c r="T11" s="167">
        <f t="shared" ref="T11:T56" si="3">Q11*$T$2</f>
        <v>0</v>
      </c>
      <c r="U11" s="167"/>
      <c r="V11" s="167">
        <f t="shared" ref="V11:V51" si="4">T11*$V$2</f>
        <v>0</v>
      </c>
      <c r="W11" s="167"/>
      <c r="X11" s="167">
        <f t="shared" ref="X11:X50" si="5">V11*$X$2</f>
        <v>0</v>
      </c>
      <c r="Y11" s="167"/>
      <c r="Z11" s="167">
        <f t="shared" ref="Z11:Z50" si="6">X11*$Z$2</f>
        <v>0</v>
      </c>
      <c r="AA11" s="167"/>
    </row>
    <row r="12" spans="2:28" ht="21">
      <c r="B12" s="334" t="s">
        <v>568</v>
      </c>
      <c r="C12" s="48" t="s">
        <v>701</v>
      </c>
      <c r="D12" s="16" t="s">
        <v>22</v>
      </c>
      <c r="E12" s="167">
        <v>1825.9</v>
      </c>
      <c r="F12" s="167">
        <v>1681.92</v>
      </c>
      <c r="G12" s="167">
        <v>0</v>
      </c>
      <c r="H12" s="167">
        <v>4962</v>
      </c>
      <c r="I12" s="167">
        <f t="shared" si="0"/>
        <v>0</v>
      </c>
      <c r="J12" s="167"/>
      <c r="K12" s="167"/>
      <c r="L12" s="167"/>
      <c r="M12" s="167">
        <f t="shared" si="1"/>
        <v>0</v>
      </c>
      <c r="N12" s="167">
        <f>473.08+107+463.86+473.088+41.239</f>
        <v>1558.2670000000001</v>
      </c>
      <c r="O12" s="167">
        <f t="shared" si="2"/>
        <v>1620.5976800000001</v>
      </c>
      <c r="P12" s="167"/>
      <c r="Q12" s="167">
        <f>R12+S12</f>
        <v>0</v>
      </c>
      <c r="R12" s="167"/>
      <c r="S12" s="167"/>
      <c r="T12" s="167">
        <f t="shared" si="3"/>
        <v>0</v>
      </c>
      <c r="U12" s="167"/>
      <c r="V12" s="167">
        <f t="shared" si="4"/>
        <v>0</v>
      </c>
      <c r="W12" s="167"/>
      <c r="X12" s="167">
        <f t="shared" si="5"/>
        <v>0</v>
      </c>
      <c r="Y12" s="167"/>
      <c r="Z12" s="167">
        <f t="shared" si="6"/>
        <v>0</v>
      </c>
      <c r="AA12" s="167"/>
    </row>
    <row r="13" spans="2:28">
      <c r="B13" s="334" t="s">
        <v>702</v>
      </c>
      <c r="C13" s="48" t="s">
        <v>703</v>
      </c>
      <c r="D13" s="16" t="s">
        <v>22</v>
      </c>
      <c r="E13" s="167">
        <v>0</v>
      </c>
      <c r="F13" s="167">
        <v>3702</v>
      </c>
      <c r="G13" s="167">
        <v>0</v>
      </c>
      <c r="H13" s="167"/>
      <c r="I13" s="167">
        <f t="shared" si="0"/>
        <v>0</v>
      </c>
      <c r="J13" s="167"/>
      <c r="K13" s="167"/>
      <c r="L13" s="167"/>
      <c r="M13" s="167">
        <f t="shared" si="1"/>
        <v>0</v>
      </c>
      <c r="N13" s="167"/>
      <c r="O13" s="167">
        <f t="shared" si="2"/>
        <v>0</v>
      </c>
      <c r="P13" s="167"/>
      <c r="Q13" s="167">
        <f>R13+S13</f>
        <v>0</v>
      </c>
      <c r="R13" s="167"/>
      <c r="S13" s="167"/>
      <c r="T13" s="167">
        <f t="shared" si="3"/>
        <v>0</v>
      </c>
      <c r="U13" s="167"/>
      <c r="V13" s="167">
        <f t="shared" si="4"/>
        <v>0</v>
      </c>
      <c r="W13" s="167"/>
      <c r="X13" s="167">
        <f t="shared" si="5"/>
        <v>0</v>
      </c>
      <c r="Y13" s="167"/>
      <c r="Z13" s="167">
        <f t="shared" si="6"/>
        <v>0</v>
      </c>
      <c r="AA13" s="167"/>
    </row>
    <row r="14" spans="2:28">
      <c r="B14" s="334" t="s">
        <v>704</v>
      </c>
      <c r="C14" s="48" t="s">
        <v>705</v>
      </c>
      <c r="D14" s="16"/>
      <c r="E14" s="167"/>
      <c r="F14" s="167"/>
      <c r="G14" s="167">
        <v>609.70000000000005</v>
      </c>
      <c r="H14" s="167">
        <v>609.70000000000005</v>
      </c>
      <c r="I14" s="167">
        <f t="shared" si="0"/>
        <v>627.74712000000011</v>
      </c>
      <c r="J14" s="167">
        <v>152.82</v>
      </c>
      <c r="K14" s="167"/>
      <c r="L14" s="167"/>
      <c r="M14" s="167">
        <f t="shared" si="1"/>
        <v>644.46402580560004</v>
      </c>
      <c r="N14" s="167">
        <v>745</v>
      </c>
      <c r="O14" s="167">
        <f t="shared" si="2"/>
        <v>774.80000000000007</v>
      </c>
      <c r="P14" s="167"/>
      <c r="Q14" s="167">
        <f>(R14+S14)/87*100</f>
        <v>654.86666666666656</v>
      </c>
      <c r="R14" s="167">
        <v>321.31599999999997</v>
      </c>
      <c r="S14" s="167">
        <v>248.41800000000001</v>
      </c>
      <c r="T14" s="167">
        <f t="shared" si="3"/>
        <v>681.06133333333321</v>
      </c>
      <c r="U14" s="167"/>
      <c r="V14" s="167">
        <f t="shared" si="4"/>
        <v>708.30378666666661</v>
      </c>
      <c r="W14" s="167"/>
      <c r="X14" s="167">
        <f t="shared" si="5"/>
        <v>736.6359381333333</v>
      </c>
      <c r="Y14" s="167"/>
      <c r="Z14" s="167">
        <f t="shared" si="6"/>
        <v>766.10137565866671</v>
      </c>
      <c r="AA14" s="167"/>
    </row>
    <row r="15" spans="2:28">
      <c r="B15" s="334" t="s">
        <v>706</v>
      </c>
      <c r="C15" s="48" t="s">
        <v>707</v>
      </c>
      <c r="D15" s="16" t="s">
        <v>22</v>
      </c>
      <c r="E15" s="167">
        <v>5094.75</v>
      </c>
      <c r="F15" s="167">
        <v>6948.18</v>
      </c>
      <c r="G15" s="167">
        <v>2.71</v>
      </c>
      <c r="H15" s="167">
        <v>1.92</v>
      </c>
      <c r="I15" s="167">
        <f t="shared" si="0"/>
        <v>2.790216</v>
      </c>
      <c r="J15" s="167"/>
      <c r="K15" s="167"/>
      <c r="L15" s="167"/>
      <c r="M15" s="167">
        <f t="shared" si="1"/>
        <v>2.8645194520799997</v>
      </c>
      <c r="N15" s="167"/>
      <c r="O15" s="167">
        <f t="shared" si="2"/>
        <v>0</v>
      </c>
      <c r="P15" s="167"/>
      <c r="Q15" s="167">
        <f t="shared" ref="Q15:Q56" si="7">(R15+S15)/87*100</f>
        <v>0</v>
      </c>
      <c r="R15" s="167">
        <v>0</v>
      </c>
      <c r="S15" s="167"/>
      <c r="T15" s="167">
        <f t="shared" si="3"/>
        <v>0</v>
      </c>
      <c r="U15" s="167"/>
      <c r="V15" s="167">
        <f t="shared" si="4"/>
        <v>0</v>
      </c>
      <c r="W15" s="167"/>
      <c r="X15" s="167">
        <f t="shared" si="5"/>
        <v>0</v>
      </c>
      <c r="Y15" s="167"/>
      <c r="Z15" s="167">
        <f t="shared" si="6"/>
        <v>0</v>
      </c>
      <c r="AA15" s="167"/>
    </row>
    <row r="16" spans="2:28">
      <c r="B16" s="334" t="s">
        <v>708</v>
      </c>
      <c r="C16" s="48" t="s">
        <v>709</v>
      </c>
      <c r="D16" s="16" t="s">
        <v>22</v>
      </c>
      <c r="E16" s="167">
        <v>1437.2</v>
      </c>
      <c r="F16" s="167">
        <v>907.6</v>
      </c>
      <c r="G16" s="167"/>
      <c r="H16" s="167"/>
      <c r="I16" s="167">
        <f t="shared" si="0"/>
        <v>0</v>
      </c>
      <c r="J16" s="167"/>
      <c r="K16" s="167"/>
      <c r="L16" s="167"/>
      <c r="M16" s="167">
        <f t="shared" si="1"/>
        <v>0</v>
      </c>
      <c r="N16" s="167"/>
      <c r="O16" s="167">
        <f t="shared" si="2"/>
        <v>0</v>
      </c>
      <c r="P16" s="167"/>
      <c r="Q16" s="167">
        <f t="shared" si="7"/>
        <v>0</v>
      </c>
      <c r="R16" s="167">
        <v>0</v>
      </c>
      <c r="S16" s="167"/>
      <c r="T16" s="167">
        <f t="shared" si="3"/>
        <v>0</v>
      </c>
      <c r="U16" s="167"/>
      <c r="V16" s="167">
        <f t="shared" si="4"/>
        <v>0</v>
      </c>
      <c r="W16" s="167"/>
      <c r="X16" s="167">
        <f t="shared" si="5"/>
        <v>0</v>
      </c>
      <c r="Y16" s="167"/>
      <c r="Z16" s="167">
        <f t="shared" si="6"/>
        <v>0</v>
      </c>
      <c r="AA16" s="167"/>
    </row>
    <row r="17" spans="2:27" ht="21">
      <c r="B17" s="334" t="s">
        <v>710</v>
      </c>
      <c r="C17" s="48" t="s">
        <v>711</v>
      </c>
      <c r="D17" s="16" t="s">
        <v>22</v>
      </c>
      <c r="E17" s="167">
        <v>17.690000000000001</v>
      </c>
      <c r="F17" s="167">
        <v>462.34</v>
      </c>
      <c r="G17" s="167">
        <v>389.47</v>
      </c>
      <c r="H17" s="167">
        <v>898.56</v>
      </c>
      <c r="I17" s="167">
        <f t="shared" si="0"/>
        <v>400.99831200000006</v>
      </c>
      <c r="J17" s="167">
        <f>14.13+60.3</f>
        <v>74.429999999999993</v>
      </c>
      <c r="K17" s="167">
        <v>42.168999999999997</v>
      </c>
      <c r="L17" s="167">
        <v>409.7</v>
      </c>
      <c r="M17" s="167">
        <f t="shared" si="1"/>
        <v>411.67689704856002</v>
      </c>
      <c r="N17" s="167">
        <v>702.63</v>
      </c>
      <c r="O17" s="167">
        <f t="shared" si="2"/>
        <v>730.73519999999996</v>
      </c>
      <c r="P17" s="167"/>
      <c r="Q17" s="167">
        <f t="shared" si="7"/>
        <v>752.96896551724137</v>
      </c>
      <c r="R17" s="167">
        <v>235.98500000000001</v>
      </c>
      <c r="S17" s="167">
        <f>1411.628-992.53</f>
        <v>419.09799999999996</v>
      </c>
      <c r="T17" s="167">
        <f t="shared" si="3"/>
        <v>783.0877241379311</v>
      </c>
      <c r="U17" s="167"/>
      <c r="V17" s="167">
        <f t="shared" si="4"/>
        <v>814.41123310344835</v>
      </c>
      <c r="W17" s="167"/>
      <c r="X17" s="167">
        <f t="shared" si="5"/>
        <v>846.98768242758626</v>
      </c>
      <c r="Y17" s="167"/>
      <c r="Z17" s="167">
        <f t="shared" si="6"/>
        <v>880.86718972468975</v>
      </c>
      <c r="AA17" s="167"/>
    </row>
    <row r="18" spans="2:27" ht="21">
      <c r="B18" s="334" t="s">
        <v>712</v>
      </c>
      <c r="C18" s="48" t="s">
        <v>713</v>
      </c>
      <c r="D18" s="16" t="s">
        <v>22</v>
      </c>
      <c r="E18" s="167">
        <v>661.07</v>
      </c>
      <c r="F18" s="167">
        <v>2289.1799999999998</v>
      </c>
      <c r="G18" s="167">
        <v>2015</v>
      </c>
      <c r="H18" s="167">
        <v>1659.3</v>
      </c>
      <c r="I18" s="167">
        <f t="shared" si="0"/>
        <v>2074.6440000000002</v>
      </c>
      <c r="J18" s="167">
        <v>905.23599999999999</v>
      </c>
      <c r="K18" s="167"/>
      <c r="L18" s="167"/>
      <c r="M18" s="167">
        <f t="shared" si="1"/>
        <v>2129.89176972</v>
      </c>
      <c r="N18" s="167">
        <f>336.45+462.05</f>
        <v>798.5</v>
      </c>
      <c r="O18" s="167">
        <f t="shared" si="2"/>
        <v>830.44</v>
      </c>
      <c r="P18" s="167"/>
      <c r="Q18" s="167">
        <f t="shared" si="7"/>
        <v>850.7275862068966</v>
      </c>
      <c r="R18" s="167">
        <v>421.36</v>
      </c>
      <c r="S18" s="167">
        <v>318.77300000000002</v>
      </c>
      <c r="T18" s="167">
        <f t="shared" si="3"/>
        <v>884.75668965517252</v>
      </c>
      <c r="U18" s="167"/>
      <c r="V18" s="167">
        <f t="shared" si="4"/>
        <v>920.14695724137948</v>
      </c>
      <c r="W18" s="167"/>
      <c r="X18" s="167">
        <f t="shared" si="5"/>
        <v>956.95283553103468</v>
      </c>
      <c r="Y18" s="167"/>
      <c r="Z18" s="167">
        <f t="shared" si="6"/>
        <v>995.23094895227609</v>
      </c>
      <c r="AA18" s="167"/>
    </row>
    <row r="19" spans="2:27" ht="27">
      <c r="B19" s="334" t="s">
        <v>714</v>
      </c>
      <c r="C19" s="339" t="s">
        <v>715</v>
      </c>
      <c r="D19" s="16" t="s">
        <v>22</v>
      </c>
      <c r="E19" s="167">
        <v>3376.49</v>
      </c>
      <c r="F19" s="167">
        <v>7053.07</v>
      </c>
      <c r="G19" s="167">
        <v>5177.37</v>
      </c>
      <c r="H19" s="167">
        <v>4962.75</v>
      </c>
      <c r="I19" s="167">
        <f t="shared" si="0"/>
        <v>5330.6201520000004</v>
      </c>
      <c r="J19" s="167">
        <v>5967</v>
      </c>
      <c r="K19" s="167"/>
      <c r="L19" s="167"/>
      <c r="M19" s="167">
        <f t="shared" si="1"/>
        <v>5472.5745666477596</v>
      </c>
      <c r="N19" s="167">
        <f>2640.61+3786.32+8.846</f>
        <v>6435.7759999999998</v>
      </c>
      <c r="O19" s="167">
        <f t="shared" si="2"/>
        <v>6693.2070400000002</v>
      </c>
      <c r="P19" s="167"/>
      <c r="Q19" s="167">
        <f t="shared" si="7"/>
        <v>7387.3172413793118</v>
      </c>
      <c r="R19" s="167">
        <v>3474.306</v>
      </c>
      <c r="S19" s="167">
        <v>2952.66</v>
      </c>
      <c r="T19" s="167">
        <f t="shared" si="3"/>
        <v>7682.8099310344842</v>
      </c>
      <c r="U19" s="167"/>
      <c r="V19" s="167">
        <f t="shared" si="4"/>
        <v>7990.1223282758638</v>
      </c>
      <c r="W19" s="167"/>
      <c r="X19" s="167">
        <f t="shared" si="5"/>
        <v>8309.727221406898</v>
      </c>
      <c r="Y19" s="167"/>
      <c r="Z19" s="167">
        <f t="shared" si="6"/>
        <v>8642.1163102631745</v>
      </c>
      <c r="AA19" s="167"/>
    </row>
    <row r="20" spans="2:27" ht="21">
      <c r="B20" s="334" t="s">
        <v>716</v>
      </c>
      <c r="C20" s="48" t="s">
        <v>717</v>
      </c>
      <c r="D20" s="16" t="s">
        <v>22</v>
      </c>
      <c r="E20" s="167">
        <v>500.96</v>
      </c>
      <c r="F20" s="167">
        <v>1762.73</v>
      </c>
      <c r="G20" s="167">
        <v>513.98</v>
      </c>
      <c r="H20" s="167">
        <v>2940.91</v>
      </c>
      <c r="I20" s="167">
        <f t="shared" si="0"/>
        <v>529.1938080000001</v>
      </c>
      <c r="J20" s="167">
        <v>4713</v>
      </c>
      <c r="K20" s="167"/>
      <c r="L20" s="167"/>
      <c r="M20" s="167">
        <f t="shared" si="1"/>
        <v>543.28623910704005</v>
      </c>
      <c r="N20" s="167">
        <f>2335.82+3123.57+350.25</f>
        <v>5809.64</v>
      </c>
      <c r="O20" s="167">
        <f t="shared" si="2"/>
        <v>6042.0256000000008</v>
      </c>
      <c r="P20" s="167"/>
      <c r="Q20" s="167">
        <f t="shared" si="7"/>
        <v>7615.0540229885055</v>
      </c>
      <c r="R20" s="167">
        <v>3755.0569999999998</v>
      </c>
      <c r="S20" s="167">
        <v>2870.04</v>
      </c>
      <c r="T20" s="167">
        <f t="shared" si="3"/>
        <v>7919.6561839080459</v>
      </c>
      <c r="U20" s="167"/>
      <c r="V20" s="167">
        <f t="shared" si="4"/>
        <v>8236.4424312643678</v>
      </c>
      <c r="W20" s="167"/>
      <c r="X20" s="167">
        <f t="shared" si="5"/>
        <v>8565.9001285149425</v>
      </c>
      <c r="Y20" s="167"/>
      <c r="Z20" s="167">
        <f t="shared" si="6"/>
        <v>8908.5361336555397</v>
      </c>
      <c r="AA20" s="167"/>
    </row>
    <row r="21" spans="2:27">
      <c r="B21" s="334" t="s">
        <v>718</v>
      </c>
      <c r="C21" s="48" t="s">
        <v>719</v>
      </c>
      <c r="D21" s="16" t="s">
        <v>22</v>
      </c>
      <c r="E21" s="167">
        <v>8.3699999999999992</v>
      </c>
      <c r="F21" s="167">
        <v>3.85</v>
      </c>
      <c r="G21" s="167">
        <v>8.59</v>
      </c>
      <c r="H21" s="167">
        <v>90.88</v>
      </c>
      <c r="I21" s="167">
        <f t="shared" si="0"/>
        <v>8.8442640000000008</v>
      </c>
      <c r="J21" s="167"/>
      <c r="K21" s="167"/>
      <c r="L21" s="167"/>
      <c r="M21" s="167">
        <f t="shared" si="1"/>
        <v>9.0797867503200003</v>
      </c>
      <c r="N21" s="167"/>
      <c r="O21" s="167">
        <f t="shared" si="2"/>
        <v>0</v>
      </c>
      <c r="P21" s="167"/>
      <c r="Q21" s="167">
        <f t="shared" si="7"/>
        <v>22.913793103448281</v>
      </c>
      <c r="R21" s="167">
        <v>11.413</v>
      </c>
      <c r="S21" s="167">
        <v>8.5220000000000002</v>
      </c>
      <c r="T21" s="167">
        <f t="shared" si="3"/>
        <v>23.830344827586213</v>
      </c>
      <c r="U21" s="167"/>
      <c r="V21" s="167">
        <f t="shared" si="4"/>
        <v>24.783558620689661</v>
      </c>
      <c r="W21" s="167"/>
      <c r="X21" s="167">
        <f t="shared" si="5"/>
        <v>25.774900965517247</v>
      </c>
      <c r="Y21" s="167"/>
      <c r="Z21" s="167">
        <f t="shared" si="6"/>
        <v>26.80589700413794</v>
      </c>
      <c r="AA21" s="167"/>
    </row>
    <row r="22" spans="2:27" ht="21">
      <c r="B22" s="334" t="s">
        <v>720</v>
      </c>
      <c r="C22" s="48" t="s">
        <v>721</v>
      </c>
      <c r="D22" s="16"/>
      <c r="E22" s="167">
        <v>149.12</v>
      </c>
      <c r="F22" s="167">
        <v>220</v>
      </c>
      <c r="G22" s="167">
        <v>153</v>
      </c>
      <c r="H22" s="167">
        <v>221.7</v>
      </c>
      <c r="I22" s="167">
        <f t="shared" si="0"/>
        <v>157.52880000000002</v>
      </c>
      <c r="J22" s="167">
        <v>273.12</v>
      </c>
      <c r="K22" s="167"/>
      <c r="L22" s="167"/>
      <c r="M22" s="167">
        <f t="shared" si="1"/>
        <v>161.723791944</v>
      </c>
      <c r="N22" s="167">
        <f>137.378+188.661</f>
        <v>326.03899999999999</v>
      </c>
      <c r="O22" s="167">
        <f t="shared" si="2"/>
        <v>339.08055999999999</v>
      </c>
      <c r="P22" s="167"/>
      <c r="Q22" s="167">
        <f t="shared" si="7"/>
        <v>353.51609195402295</v>
      </c>
      <c r="R22" s="167">
        <v>174.965</v>
      </c>
      <c r="S22" s="167">
        <v>132.59399999999999</v>
      </c>
      <c r="T22" s="167">
        <f t="shared" si="3"/>
        <v>367.65673563218388</v>
      </c>
      <c r="U22" s="167"/>
      <c r="V22" s="167">
        <f t="shared" si="4"/>
        <v>382.36300505747124</v>
      </c>
      <c r="W22" s="167"/>
      <c r="X22" s="167">
        <f t="shared" si="5"/>
        <v>397.65752525977013</v>
      </c>
      <c r="Y22" s="167"/>
      <c r="Z22" s="167">
        <f t="shared" si="6"/>
        <v>413.56382627016092</v>
      </c>
      <c r="AA22" s="167"/>
    </row>
    <row r="23" spans="2:27">
      <c r="B23" s="334" t="s">
        <v>722</v>
      </c>
      <c r="C23" s="48" t="s">
        <v>723</v>
      </c>
      <c r="D23" s="16" t="s">
        <v>22</v>
      </c>
      <c r="E23" s="167">
        <v>0</v>
      </c>
      <c r="F23" s="167">
        <v>740</v>
      </c>
      <c r="G23" s="167">
        <v>747.61</v>
      </c>
      <c r="H23" s="167">
        <v>898.56</v>
      </c>
      <c r="I23" s="167">
        <f t="shared" si="0"/>
        <v>769.73925600000007</v>
      </c>
      <c r="J23" s="167">
        <v>874.07</v>
      </c>
      <c r="K23" s="167"/>
      <c r="L23" s="167"/>
      <c r="M23" s="167">
        <f t="shared" si="1"/>
        <v>790.23741238728007</v>
      </c>
      <c r="N23" s="167">
        <f>480.692+660.132</f>
        <v>1140.8240000000001</v>
      </c>
      <c r="O23" s="167">
        <f t="shared" si="2"/>
        <v>1186.4569600000002</v>
      </c>
      <c r="P23" s="167"/>
      <c r="Q23" s="167">
        <f t="shared" si="7"/>
        <v>1026.7701149425286</v>
      </c>
      <c r="R23" s="167">
        <v>507.726</v>
      </c>
      <c r="S23" s="167">
        <v>385.56400000000002</v>
      </c>
      <c r="T23" s="167">
        <f t="shared" si="3"/>
        <v>1067.8409195402298</v>
      </c>
      <c r="U23" s="167"/>
      <c r="V23" s="167">
        <f t="shared" si="4"/>
        <v>1110.5545563218391</v>
      </c>
      <c r="W23" s="167"/>
      <c r="X23" s="167">
        <f t="shared" si="5"/>
        <v>1154.9767385747127</v>
      </c>
      <c r="Y23" s="167"/>
      <c r="Z23" s="167">
        <f t="shared" si="6"/>
        <v>1201.1758081177013</v>
      </c>
      <c r="AA23" s="167"/>
    </row>
    <row r="24" spans="2:27" ht="31.5">
      <c r="B24" s="334" t="s">
        <v>724</v>
      </c>
      <c r="C24" s="48" t="s">
        <v>725</v>
      </c>
      <c r="D24" s="16" t="s">
        <v>22</v>
      </c>
      <c r="E24" s="167">
        <v>53.49</v>
      </c>
      <c r="F24" s="167">
        <v>356</v>
      </c>
      <c r="G24" s="167">
        <v>92.31</v>
      </c>
      <c r="H24" s="167">
        <v>305.41000000000003</v>
      </c>
      <c r="I24" s="167">
        <f t="shared" si="0"/>
        <v>95.042376000000004</v>
      </c>
      <c r="J24" s="167">
        <v>93.9</v>
      </c>
      <c r="K24" s="167"/>
      <c r="L24" s="167"/>
      <c r="M24" s="167">
        <f t="shared" si="1"/>
        <v>97.573354472879998</v>
      </c>
      <c r="N24" s="167"/>
      <c r="O24" s="167">
        <f t="shared" si="2"/>
        <v>0</v>
      </c>
      <c r="P24" s="167"/>
      <c r="Q24" s="167">
        <f t="shared" si="7"/>
        <v>0</v>
      </c>
      <c r="R24" s="167"/>
      <c r="S24" s="167"/>
      <c r="T24" s="167">
        <f t="shared" si="3"/>
        <v>0</v>
      </c>
      <c r="U24" s="167"/>
      <c r="V24" s="167">
        <f t="shared" si="4"/>
        <v>0</v>
      </c>
      <c r="W24" s="167"/>
      <c r="X24" s="167">
        <f t="shared" si="5"/>
        <v>0</v>
      </c>
      <c r="Y24" s="167"/>
      <c r="Z24" s="167">
        <f t="shared" si="6"/>
        <v>0</v>
      </c>
      <c r="AA24" s="167"/>
    </row>
    <row r="25" spans="2:27" ht="42">
      <c r="B25" s="334" t="s">
        <v>726</v>
      </c>
      <c r="C25" s="48" t="s">
        <v>727</v>
      </c>
      <c r="D25" s="16"/>
      <c r="E25" s="167"/>
      <c r="F25" s="167"/>
      <c r="G25" s="167">
        <v>0</v>
      </c>
      <c r="H25" s="167"/>
      <c r="I25" s="167">
        <f t="shared" si="0"/>
        <v>0</v>
      </c>
      <c r="J25" s="167"/>
      <c r="K25" s="167"/>
      <c r="L25" s="167"/>
      <c r="M25" s="167">
        <f t="shared" si="1"/>
        <v>0</v>
      </c>
      <c r="N25" s="167"/>
      <c r="O25" s="167">
        <f t="shared" si="2"/>
        <v>0</v>
      </c>
      <c r="P25" s="167"/>
      <c r="Q25" s="167">
        <f t="shared" si="7"/>
        <v>0</v>
      </c>
      <c r="R25" s="167"/>
      <c r="S25" s="167"/>
      <c r="T25" s="167">
        <f t="shared" si="3"/>
        <v>0</v>
      </c>
      <c r="U25" s="167"/>
      <c r="V25" s="167">
        <f t="shared" si="4"/>
        <v>0</v>
      </c>
      <c r="W25" s="167"/>
      <c r="X25" s="167">
        <f t="shared" si="5"/>
        <v>0</v>
      </c>
      <c r="Y25" s="167"/>
      <c r="Z25" s="167">
        <f t="shared" si="6"/>
        <v>0</v>
      </c>
      <c r="AA25" s="167"/>
    </row>
    <row r="26" spans="2:27" ht="31.5">
      <c r="B26" s="334" t="s">
        <v>728</v>
      </c>
      <c r="C26" s="48" t="s">
        <v>729</v>
      </c>
      <c r="D26" s="16" t="s">
        <v>22</v>
      </c>
      <c r="E26" s="167">
        <v>130.75</v>
      </c>
      <c r="F26" s="167">
        <v>4.1100000000000003</v>
      </c>
      <c r="G26" s="167"/>
      <c r="H26" s="167"/>
      <c r="I26" s="167">
        <f t="shared" si="0"/>
        <v>0</v>
      </c>
      <c r="J26" s="167"/>
      <c r="K26" s="167"/>
      <c r="L26" s="167"/>
      <c r="M26" s="167">
        <f t="shared" si="1"/>
        <v>0</v>
      </c>
      <c r="N26" s="167"/>
      <c r="O26" s="167">
        <f t="shared" si="2"/>
        <v>0</v>
      </c>
      <c r="P26" s="167"/>
      <c r="Q26" s="167">
        <f t="shared" si="7"/>
        <v>0</v>
      </c>
      <c r="R26" s="167"/>
      <c r="S26" s="167"/>
      <c r="T26" s="167">
        <f t="shared" si="3"/>
        <v>0</v>
      </c>
      <c r="U26" s="167"/>
      <c r="V26" s="167">
        <f t="shared" si="4"/>
        <v>0</v>
      </c>
      <c r="W26" s="167"/>
      <c r="X26" s="167">
        <f t="shared" si="5"/>
        <v>0</v>
      </c>
      <c r="Y26" s="167"/>
      <c r="Z26" s="167">
        <f t="shared" si="6"/>
        <v>0</v>
      </c>
      <c r="AA26" s="167"/>
    </row>
    <row r="27" spans="2:27" ht="21">
      <c r="B27" s="334" t="s">
        <v>730</v>
      </c>
      <c r="C27" s="48" t="s">
        <v>731</v>
      </c>
      <c r="D27" s="16" t="s">
        <v>22</v>
      </c>
      <c r="E27" s="167">
        <v>24.18</v>
      </c>
      <c r="F27" s="167">
        <v>390.2</v>
      </c>
      <c r="G27" s="167">
        <v>0</v>
      </c>
      <c r="H27" s="167"/>
      <c r="I27" s="167">
        <f t="shared" si="0"/>
        <v>0</v>
      </c>
      <c r="J27" s="167"/>
      <c r="K27" s="167"/>
      <c r="L27" s="167"/>
      <c r="M27" s="167">
        <f t="shared" si="1"/>
        <v>0</v>
      </c>
      <c r="N27" s="167"/>
      <c r="O27" s="167">
        <f t="shared" si="2"/>
        <v>0</v>
      </c>
      <c r="P27" s="167"/>
      <c r="Q27" s="167">
        <f t="shared" si="7"/>
        <v>0</v>
      </c>
      <c r="R27" s="167"/>
      <c r="S27" s="167"/>
      <c r="T27" s="167">
        <f t="shared" si="3"/>
        <v>0</v>
      </c>
      <c r="U27" s="167"/>
      <c r="V27" s="167">
        <f t="shared" si="4"/>
        <v>0</v>
      </c>
      <c r="W27" s="167"/>
      <c r="X27" s="167">
        <f t="shared" si="5"/>
        <v>0</v>
      </c>
      <c r="Y27" s="167"/>
      <c r="Z27" s="167">
        <f t="shared" si="6"/>
        <v>0</v>
      </c>
      <c r="AA27" s="167"/>
    </row>
    <row r="28" spans="2:27" ht="21">
      <c r="B28" s="334" t="s">
        <v>732</v>
      </c>
      <c r="C28" s="48" t="s">
        <v>733</v>
      </c>
      <c r="D28" s="16" t="s">
        <v>22</v>
      </c>
      <c r="E28" s="167">
        <v>732.2</v>
      </c>
      <c r="F28" s="167">
        <v>2898.01</v>
      </c>
      <c r="G28" s="167">
        <v>358.61</v>
      </c>
      <c r="H28" s="167">
        <v>3562.9</v>
      </c>
      <c r="I28" s="167">
        <f t="shared" si="0"/>
        <v>369.22485600000005</v>
      </c>
      <c r="J28" s="167">
        <v>1772.78</v>
      </c>
      <c r="K28" s="167"/>
      <c r="L28" s="167"/>
      <c r="M28" s="167">
        <f t="shared" si="1"/>
        <v>379.05731391528002</v>
      </c>
      <c r="N28" s="167">
        <v>9.5180000000000007</v>
      </c>
      <c r="O28" s="167">
        <f t="shared" si="2"/>
        <v>9.8987200000000009</v>
      </c>
      <c r="P28" s="167"/>
      <c r="Q28" s="167">
        <f t="shared" si="7"/>
        <v>0</v>
      </c>
      <c r="R28" s="167"/>
      <c r="S28" s="167"/>
      <c r="T28" s="167">
        <f t="shared" si="3"/>
        <v>0</v>
      </c>
      <c r="U28" s="167"/>
      <c r="V28" s="167">
        <f t="shared" si="4"/>
        <v>0</v>
      </c>
      <c r="W28" s="167"/>
      <c r="X28" s="167">
        <f t="shared" si="5"/>
        <v>0</v>
      </c>
      <c r="Y28" s="167"/>
      <c r="Z28" s="167">
        <f t="shared" si="6"/>
        <v>0</v>
      </c>
      <c r="AA28" s="167"/>
    </row>
    <row r="29" spans="2:27" ht="31.5">
      <c r="B29" s="334" t="s">
        <v>734</v>
      </c>
      <c r="C29" s="48" t="s">
        <v>879</v>
      </c>
      <c r="D29" s="16" t="s">
        <v>22</v>
      </c>
      <c r="E29" s="167">
        <v>63.81</v>
      </c>
      <c r="F29" s="167">
        <v>240</v>
      </c>
      <c r="G29" s="167">
        <v>3.55</v>
      </c>
      <c r="H29" s="167">
        <v>161.69999999999999</v>
      </c>
      <c r="I29" s="167">
        <f t="shared" si="0"/>
        <v>3.6550799999999999</v>
      </c>
      <c r="J29" s="167">
        <v>2073</v>
      </c>
      <c r="K29" s="167"/>
      <c r="L29" s="167"/>
      <c r="M29" s="167">
        <f t="shared" si="1"/>
        <v>3.7524147803999996</v>
      </c>
      <c r="N29" s="167">
        <f>75.719+138.434+14.942+20.106+960.384+463</f>
        <v>1672.585</v>
      </c>
      <c r="O29" s="167">
        <f t="shared" si="2"/>
        <v>1739.4884000000002</v>
      </c>
      <c r="P29" s="167"/>
      <c r="Q29" s="167">
        <f t="shared" si="7"/>
        <v>0</v>
      </c>
      <c r="R29" s="167"/>
      <c r="S29" s="167"/>
      <c r="T29" s="167">
        <f t="shared" si="3"/>
        <v>0</v>
      </c>
      <c r="U29" s="167"/>
      <c r="V29" s="167">
        <f t="shared" si="4"/>
        <v>0</v>
      </c>
      <c r="W29" s="167"/>
      <c r="X29" s="167">
        <f t="shared" si="5"/>
        <v>0</v>
      </c>
      <c r="Y29" s="167"/>
      <c r="Z29" s="167">
        <f t="shared" si="6"/>
        <v>0</v>
      </c>
      <c r="AA29" s="167"/>
    </row>
    <row r="30" spans="2:27" ht="31.5">
      <c r="B30" s="334" t="s">
        <v>735</v>
      </c>
      <c r="C30" s="48" t="s">
        <v>736</v>
      </c>
      <c r="D30" s="16" t="s">
        <v>22</v>
      </c>
      <c r="E30" s="167">
        <v>64</v>
      </c>
      <c r="F30" s="167">
        <v>4075.53</v>
      </c>
      <c r="G30" s="167">
        <v>59.56</v>
      </c>
      <c r="H30" s="167">
        <v>3237.3</v>
      </c>
      <c r="I30" s="167">
        <f t="shared" si="0"/>
        <v>61.322976000000004</v>
      </c>
      <c r="J30" s="167">
        <v>92.9</v>
      </c>
      <c r="K30" s="167"/>
      <c r="L30" s="167"/>
      <c r="M30" s="167">
        <f t="shared" si="1"/>
        <v>62.956006850880001</v>
      </c>
      <c r="N30" s="167">
        <f>1723.312+1289.745+2.4</f>
        <v>3015.4569999999999</v>
      </c>
      <c r="O30" s="167">
        <f t="shared" si="2"/>
        <v>3136.07528</v>
      </c>
      <c r="P30" s="167"/>
      <c r="Q30" s="167">
        <f t="shared" si="7"/>
        <v>0</v>
      </c>
      <c r="R30" s="167"/>
      <c r="S30" s="167"/>
      <c r="T30" s="167">
        <f t="shared" si="3"/>
        <v>0</v>
      </c>
      <c r="U30" s="167"/>
      <c r="V30" s="167">
        <f t="shared" si="4"/>
        <v>0</v>
      </c>
      <c r="W30" s="167"/>
      <c r="X30" s="167">
        <f t="shared" si="5"/>
        <v>0</v>
      </c>
      <c r="Y30" s="167"/>
      <c r="Z30" s="167">
        <f t="shared" si="6"/>
        <v>0</v>
      </c>
      <c r="AA30" s="167"/>
    </row>
    <row r="31" spans="2:27" ht="21">
      <c r="B31" s="334" t="s">
        <v>737</v>
      </c>
      <c r="C31" s="48" t="s">
        <v>880</v>
      </c>
      <c r="D31" s="16" t="s">
        <v>22</v>
      </c>
      <c r="E31" s="167">
        <v>621.32000000000005</v>
      </c>
      <c r="F31" s="167">
        <v>3331.23</v>
      </c>
      <c r="G31" s="167">
        <v>0</v>
      </c>
      <c r="H31" s="167"/>
      <c r="I31" s="167">
        <f t="shared" si="0"/>
        <v>0</v>
      </c>
      <c r="J31" s="167"/>
      <c r="K31" s="167"/>
      <c r="L31" s="167"/>
      <c r="M31" s="167">
        <f t="shared" si="1"/>
        <v>0</v>
      </c>
      <c r="N31" s="167">
        <v>29.73</v>
      </c>
      <c r="O31" s="167">
        <f t="shared" si="2"/>
        <v>30.9192</v>
      </c>
      <c r="P31" s="167"/>
      <c r="Q31" s="167">
        <f t="shared" si="7"/>
        <v>0</v>
      </c>
      <c r="R31" s="167"/>
      <c r="S31" s="167"/>
      <c r="T31" s="167">
        <f t="shared" si="3"/>
        <v>0</v>
      </c>
      <c r="U31" s="167"/>
      <c r="V31" s="167">
        <f t="shared" si="4"/>
        <v>0</v>
      </c>
      <c r="W31" s="167"/>
      <c r="X31" s="167">
        <f t="shared" si="5"/>
        <v>0</v>
      </c>
      <c r="Y31" s="167"/>
      <c r="Z31" s="167">
        <f t="shared" si="6"/>
        <v>0</v>
      </c>
      <c r="AA31" s="167"/>
    </row>
    <row r="32" spans="2:27" ht="21">
      <c r="B32" s="334" t="s">
        <v>738</v>
      </c>
      <c r="C32" s="48" t="s">
        <v>739</v>
      </c>
      <c r="D32" s="16" t="s">
        <v>22</v>
      </c>
      <c r="E32" s="167">
        <v>118.3</v>
      </c>
      <c r="F32" s="167">
        <v>2714.9</v>
      </c>
      <c r="G32" s="167">
        <v>0</v>
      </c>
      <c r="H32" s="167"/>
      <c r="I32" s="167">
        <f t="shared" si="0"/>
        <v>0</v>
      </c>
      <c r="J32" s="167"/>
      <c r="K32" s="167"/>
      <c r="L32" s="167"/>
      <c r="M32" s="167">
        <f t="shared" si="1"/>
        <v>0</v>
      </c>
      <c r="N32" s="167">
        <v>322.67</v>
      </c>
      <c r="O32" s="167">
        <f t="shared" si="2"/>
        <v>335.57680000000005</v>
      </c>
      <c r="P32" s="167"/>
      <c r="Q32" s="167">
        <f t="shared" si="7"/>
        <v>0</v>
      </c>
      <c r="R32" s="167"/>
      <c r="S32" s="167"/>
      <c r="T32" s="167">
        <f t="shared" si="3"/>
        <v>0</v>
      </c>
      <c r="U32" s="167"/>
      <c r="V32" s="167">
        <f t="shared" si="4"/>
        <v>0</v>
      </c>
      <c r="W32" s="167"/>
      <c r="X32" s="167">
        <f t="shared" si="5"/>
        <v>0</v>
      </c>
      <c r="Y32" s="167"/>
      <c r="Z32" s="167">
        <f t="shared" si="6"/>
        <v>0</v>
      </c>
      <c r="AA32" s="167"/>
    </row>
    <row r="33" spans="2:27">
      <c r="B33" s="334" t="s">
        <v>740</v>
      </c>
      <c r="C33" s="48" t="s">
        <v>741</v>
      </c>
      <c r="D33" s="16" t="s">
        <v>22</v>
      </c>
      <c r="E33" s="167">
        <v>36</v>
      </c>
      <c r="F33" s="167">
        <v>491.76</v>
      </c>
      <c r="G33" s="167">
        <v>0</v>
      </c>
      <c r="H33" s="167"/>
      <c r="I33" s="167">
        <f t="shared" si="0"/>
        <v>0</v>
      </c>
      <c r="J33" s="167">
        <f>60.5+39.4</f>
        <v>99.9</v>
      </c>
      <c r="K33" s="167">
        <v>85.69</v>
      </c>
      <c r="L33" s="167">
        <v>178.7</v>
      </c>
      <c r="M33" s="167">
        <f t="shared" si="1"/>
        <v>0</v>
      </c>
      <c r="N33" s="167"/>
      <c r="O33" s="167">
        <f t="shared" si="2"/>
        <v>0</v>
      </c>
      <c r="P33" s="167"/>
      <c r="Q33" s="167">
        <f t="shared" si="7"/>
        <v>0</v>
      </c>
      <c r="R33" s="167"/>
      <c r="S33" s="167"/>
      <c r="T33" s="167">
        <f t="shared" si="3"/>
        <v>0</v>
      </c>
      <c r="U33" s="167"/>
      <c r="V33" s="167">
        <f t="shared" si="4"/>
        <v>0</v>
      </c>
      <c r="W33" s="167"/>
      <c r="X33" s="167">
        <f t="shared" si="5"/>
        <v>0</v>
      </c>
      <c r="Y33" s="167"/>
      <c r="Z33" s="167">
        <f t="shared" si="6"/>
        <v>0</v>
      </c>
      <c r="AA33" s="167"/>
    </row>
    <row r="34" spans="2:27" ht="21">
      <c r="B34" s="334" t="s">
        <v>742</v>
      </c>
      <c r="C34" s="48" t="s">
        <v>743</v>
      </c>
      <c r="D34" s="16" t="s">
        <v>22</v>
      </c>
      <c r="E34" s="167">
        <v>0</v>
      </c>
      <c r="F34" s="167">
        <v>1118.78</v>
      </c>
      <c r="G34" s="167"/>
      <c r="H34" s="167"/>
      <c r="I34" s="167">
        <f t="shared" si="0"/>
        <v>0</v>
      </c>
      <c r="J34" s="167"/>
      <c r="K34" s="167"/>
      <c r="L34" s="167"/>
      <c r="M34" s="167">
        <f t="shared" si="1"/>
        <v>0</v>
      </c>
      <c r="N34" s="167">
        <f>446.813+24.208+646.67+61.073</f>
        <v>1178.7639999999999</v>
      </c>
      <c r="O34" s="167">
        <f t="shared" si="2"/>
        <v>1225.9145599999999</v>
      </c>
      <c r="P34" s="167"/>
      <c r="Q34" s="167">
        <f t="shared" si="7"/>
        <v>2455.1956321839079</v>
      </c>
      <c r="R34" s="167">
        <v>1178.8132000000001</v>
      </c>
      <c r="S34" s="167">
        <v>957.20699999999999</v>
      </c>
      <c r="T34" s="167">
        <f t="shared" si="3"/>
        <v>2553.4034574712646</v>
      </c>
      <c r="U34" s="167"/>
      <c r="V34" s="167">
        <f t="shared" si="4"/>
        <v>2655.5395957701153</v>
      </c>
      <c r="W34" s="167"/>
      <c r="X34" s="167">
        <f t="shared" si="5"/>
        <v>2761.7611796009201</v>
      </c>
      <c r="Y34" s="167"/>
      <c r="Z34" s="167">
        <f t="shared" si="6"/>
        <v>2872.2316267849569</v>
      </c>
      <c r="AA34" s="167"/>
    </row>
    <row r="35" spans="2:27">
      <c r="B35" s="334" t="s">
        <v>744</v>
      </c>
      <c r="C35" s="48" t="s">
        <v>745</v>
      </c>
      <c r="D35" s="16" t="s">
        <v>22</v>
      </c>
      <c r="E35" s="167">
        <v>274.8</v>
      </c>
      <c r="F35" s="167">
        <v>0</v>
      </c>
      <c r="G35" s="167">
        <v>198.6</v>
      </c>
      <c r="H35" s="167">
        <v>103.8</v>
      </c>
      <c r="I35" s="167">
        <f t="shared" si="0"/>
        <v>204.47856000000002</v>
      </c>
      <c r="J35" s="167">
        <v>2.9</v>
      </c>
      <c r="K35" s="167"/>
      <c r="L35" s="167"/>
      <c r="M35" s="167">
        <f t="shared" si="1"/>
        <v>209.9238240528</v>
      </c>
      <c r="N35" s="167"/>
      <c r="O35" s="167">
        <f t="shared" si="2"/>
        <v>0</v>
      </c>
      <c r="P35" s="167"/>
      <c r="Q35" s="167">
        <f t="shared" si="7"/>
        <v>0</v>
      </c>
      <c r="R35" s="167"/>
      <c r="S35" s="167"/>
      <c r="T35" s="167">
        <f t="shared" si="3"/>
        <v>0</v>
      </c>
      <c r="U35" s="167"/>
      <c r="V35" s="167">
        <f t="shared" si="4"/>
        <v>0</v>
      </c>
      <c r="W35" s="167"/>
      <c r="X35" s="167">
        <f t="shared" si="5"/>
        <v>0</v>
      </c>
      <c r="Y35" s="167"/>
      <c r="Z35" s="167">
        <f t="shared" si="6"/>
        <v>0</v>
      </c>
      <c r="AA35" s="167"/>
    </row>
    <row r="36" spans="2:27" ht="31.5">
      <c r="B36" s="334" t="s">
        <v>746</v>
      </c>
      <c r="C36" s="48" t="s">
        <v>747</v>
      </c>
      <c r="D36" s="16" t="s">
        <v>22</v>
      </c>
      <c r="E36" s="167">
        <v>3.77</v>
      </c>
      <c r="F36" s="167">
        <v>1.03</v>
      </c>
      <c r="G36" s="167">
        <v>1.46</v>
      </c>
      <c r="H36" s="167">
        <v>32.6</v>
      </c>
      <c r="I36" s="167">
        <f t="shared" si="0"/>
        <v>1.5032160000000001</v>
      </c>
      <c r="J36" s="167">
        <v>110.4</v>
      </c>
      <c r="K36" s="167"/>
      <c r="L36" s="167"/>
      <c r="M36" s="167">
        <f t="shared" si="1"/>
        <v>1.54324664208</v>
      </c>
      <c r="N36" s="167"/>
      <c r="O36" s="167">
        <f t="shared" si="2"/>
        <v>0</v>
      </c>
      <c r="P36" s="167"/>
      <c r="Q36" s="167">
        <f t="shared" si="7"/>
        <v>0</v>
      </c>
      <c r="R36" s="167"/>
      <c r="S36" s="167"/>
      <c r="T36" s="167">
        <f t="shared" si="3"/>
        <v>0</v>
      </c>
      <c r="U36" s="167"/>
      <c r="V36" s="167">
        <f t="shared" si="4"/>
        <v>0</v>
      </c>
      <c r="W36" s="167"/>
      <c r="X36" s="167">
        <f t="shared" si="5"/>
        <v>0</v>
      </c>
      <c r="Y36" s="167"/>
      <c r="Z36" s="167">
        <f t="shared" si="6"/>
        <v>0</v>
      </c>
      <c r="AA36" s="167"/>
    </row>
    <row r="37" spans="2:27" ht="21">
      <c r="B37" s="334" t="s">
        <v>748</v>
      </c>
      <c r="C37" s="48" t="s">
        <v>749</v>
      </c>
      <c r="D37" s="16" t="s">
        <v>22</v>
      </c>
      <c r="E37" s="167">
        <v>24.06</v>
      </c>
      <c r="F37" s="167">
        <v>264</v>
      </c>
      <c r="G37" s="167">
        <v>990</v>
      </c>
      <c r="H37" s="167">
        <v>759</v>
      </c>
      <c r="I37" s="167">
        <f t="shared" si="0"/>
        <v>1019.3040000000001</v>
      </c>
      <c r="J37" s="167">
        <f>45.495+275.73</f>
        <v>321.22500000000002</v>
      </c>
      <c r="K37" s="167">
        <f>15+128.4</f>
        <v>143.4</v>
      </c>
      <c r="L37" s="167">
        <f>7.2+94.36</f>
        <v>101.56</v>
      </c>
      <c r="M37" s="167">
        <f t="shared" si="1"/>
        <v>1046.44806552</v>
      </c>
      <c r="N37" s="167">
        <f>66.25+292.903+16.305+55.308+238.584+64.519+55.308</f>
        <v>789.17700000000002</v>
      </c>
      <c r="O37" s="167">
        <f t="shared" si="2"/>
        <v>820.74408000000005</v>
      </c>
      <c r="P37" s="167"/>
      <c r="Q37" s="167">
        <f t="shared" si="7"/>
        <v>906.41954022988523</v>
      </c>
      <c r="R37" s="167">
        <f>150.392+293.293</f>
        <v>443.685</v>
      </c>
      <c r="S37" s="167">
        <f>72.76+272.14</f>
        <v>344.9</v>
      </c>
      <c r="T37" s="167">
        <f t="shared" si="3"/>
        <v>942.67632183908063</v>
      </c>
      <c r="U37" s="167"/>
      <c r="V37" s="167">
        <f t="shared" si="4"/>
        <v>980.3833747126439</v>
      </c>
      <c r="W37" s="167"/>
      <c r="X37" s="167">
        <f t="shared" si="5"/>
        <v>1019.5987097011497</v>
      </c>
      <c r="Y37" s="167"/>
      <c r="Z37" s="167">
        <f t="shared" si="6"/>
        <v>1060.3826580891957</v>
      </c>
      <c r="AA37" s="167"/>
    </row>
    <row r="38" spans="2:27" ht="21">
      <c r="B38" s="334" t="s">
        <v>750</v>
      </c>
      <c r="C38" s="48" t="s">
        <v>751</v>
      </c>
      <c r="D38" s="16" t="s">
        <v>22</v>
      </c>
      <c r="E38" s="167">
        <v>0</v>
      </c>
      <c r="F38" s="167">
        <v>17.5</v>
      </c>
      <c r="G38" s="167"/>
      <c r="H38" s="167"/>
      <c r="I38" s="167">
        <f t="shared" si="0"/>
        <v>0</v>
      </c>
      <c r="J38" s="167"/>
      <c r="K38" s="167"/>
      <c r="L38" s="167"/>
      <c r="M38" s="167">
        <f t="shared" si="1"/>
        <v>0</v>
      </c>
      <c r="N38" s="167">
        <f>21.472+23.14+2.667+109.21+2.667</f>
        <v>159.15600000000001</v>
      </c>
      <c r="O38" s="167">
        <f t="shared" si="2"/>
        <v>165.52224000000001</v>
      </c>
      <c r="P38" s="167"/>
      <c r="Q38" s="167">
        <f t="shared" si="7"/>
        <v>315.78390804597706</v>
      </c>
      <c r="R38" s="167">
        <v>138.31200000000001</v>
      </c>
      <c r="S38" s="167">
        <f>33.809+102.611</f>
        <v>136.42000000000002</v>
      </c>
      <c r="T38" s="167">
        <f t="shared" si="3"/>
        <v>328.41526436781618</v>
      </c>
      <c r="U38" s="167"/>
      <c r="V38" s="167">
        <f t="shared" si="4"/>
        <v>341.55187494252885</v>
      </c>
      <c r="W38" s="167"/>
      <c r="X38" s="167">
        <f t="shared" si="5"/>
        <v>355.21394994023001</v>
      </c>
      <c r="Y38" s="167"/>
      <c r="Z38" s="167">
        <f t="shared" si="6"/>
        <v>369.42250793783921</v>
      </c>
      <c r="AA38" s="167"/>
    </row>
    <row r="39" spans="2:27" ht="31.5">
      <c r="B39" s="334" t="s">
        <v>752</v>
      </c>
      <c r="C39" s="48" t="s">
        <v>881</v>
      </c>
      <c r="D39" s="16" t="s">
        <v>22</v>
      </c>
      <c r="E39" s="167">
        <v>5.44</v>
      </c>
      <c r="F39" s="167">
        <v>480</v>
      </c>
      <c r="G39" s="167">
        <v>5.58</v>
      </c>
      <c r="H39" s="167">
        <v>75.900000000000006</v>
      </c>
      <c r="I39" s="167">
        <f t="shared" si="0"/>
        <v>5.7451680000000005</v>
      </c>
      <c r="J39" s="167">
        <v>380</v>
      </c>
      <c r="K39" s="167"/>
      <c r="L39" s="167"/>
      <c r="M39" s="167">
        <f t="shared" si="1"/>
        <v>5.8981618238399998</v>
      </c>
      <c r="N39" s="167">
        <f>259.702+183.247+17.316+549.418+154+137+68.88+2.1</f>
        <v>1371.663</v>
      </c>
      <c r="O39" s="167">
        <f t="shared" si="2"/>
        <v>1426.52952</v>
      </c>
      <c r="P39" s="167"/>
      <c r="Q39" s="167">
        <f t="shared" si="7"/>
        <v>756.6011494252873</v>
      </c>
      <c r="R39" s="167">
        <v>262.75099999999998</v>
      </c>
      <c r="S39" s="167">
        <v>395.49200000000002</v>
      </c>
      <c r="T39" s="167">
        <f t="shared" si="3"/>
        <v>786.86519540229881</v>
      </c>
      <c r="U39" s="167"/>
      <c r="V39" s="167">
        <f t="shared" si="4"/>
        <v>818.33980321839078</v>
      </c>
      <c r="W39" s="167"/>
      <c r="X39" s="167">
        <f t="shared" si="5"/>
        <v>851.07339534712639</v>
      </c>
      <c r="Y39" s="167"/>
      <c r="Z39" s="167">
        <f t="shared" si="6"/>
        <v>885.11633116101143</v>
      </c>
      <c r="AA39" s="167"/>
    </row>
    <row r="40" spans="2:27" ht="31.5">
      <c r="B40" s="334" t="s">
        <v>753</v>
      </c>
      <c r="C40" s="48" t="s">
        <v>754</v>
      </c>
      <c r="D40" s="16" t="s">
        <v>22</v>
      </c>
      <c r="E40" s="167">
        <v>4.5999999999999996</v>
      </c>
      <c r="F40" s="167">
        <v>290</v>
      </c>
      <c r="G40" s="167">
        <v>3.69</v>
      </c>
      <c r="H40" s="167">
        <v>166.18</v>
      </c>
      <c r="I40" s="167">
        <f t="shared" si="0"/>
        <v>3.7992240000000002</v>
      </c>
      <c r="J40" s="167"/>
      <c r="K40" s="167"/>
      <c r="L40" s="167"/>
      <c r="M40" s="167">
        <f t="shared" si="1"/>
        <v>3.9003973351200001</v>
      </c>
      <c r="N40" s="167">
        <f>67.03+9.35+9.902+14.237+55.512</f>
        <v>156.03100000000001</v>
      </c>
      <c r="O40" s="167">
        <f t="shared" si="2"/>
        <v>162.27224000000001</v>
      </c>
      <c r="P40" s="167"/>
      <c r="Q40" s="167">
        <f t="shared" si="7"/>
        <v>0</v>
      </c>
      <c r="R40" s="167"/>
      <c r="S40" s="167"/>
      <c r="T40" s="167">
        <f t="shared" si="3"/>
        <v>0</v>
      </c>
      <c r="U40" s="167"/>
      <c r="V40" s="167">
        <f t="shared" si="4"/>
        <v>0</v>
      </c>
      <c r="W40" s="167"/>
      <c r="X40" s="167">
        <f t="shared" si="5"/>
        <v>0</v>
      </c>
      <c r="Y40" s="167"/>
      <c r="Z40" s="167">
        <f t="shared" si="6"/>
        <v>0</v>
      </c>
      <c r="AA40" s="167"/>
    </row>
    <row r="41" spans="2:27" ht="42">
      <c r="B41" s="334" t="s">
        <v>755</v>
      </c>
      <c r="C41" s="48" t="s">
        <v>756</v>
      </c>
      <c r="D41" s="16" t="s">
        <v>22</v>
      </c>
      <c r="E41" s="167">
        <v>0</v>
      </c>
      <c r="F41" s="167">
        <v>1871.2</v>
      </c>
      <c r="G41" s="167"/>
      <c r="H41" s="167"/>
      <c r="I41" s="167">
        <f t="shared" si="0"/>
        <v>0</v>
      </c>
      <c r="J41" s="167">
        <f>196.74+75.72</f>
        <v>272.46000000000004</v>
      </c>
      <c r="K41" s="167">
        <v>682.2</v>
      </c>
      <c r="L41" s="167">
        <v>492.92</v>
      </c>
      <c r="M41" s="167">
        <f t="shared" si="1"/>
        <v>0</v>
      </c>
      <c r="N41" s="167">
        <f>1043.16+67.9+752.013</f>
        <v>1863.0730000000003</v>
      </c>
      <c r="O41" s="167">
        <f t="shared" si="2"/>
        <v>1937.5959200000004</v>
      </c>
      <c r="P41" s="167"/>
      <c r="Q41" s="167">
        <f t="shared" si="7"/>
        <v>0</v>
      </c>
      <c r="R41" s="167"/>
      <c r="S41" s="167"/>
      <c r="T41" s="167">
        <f t="shared" si="3"/>
        <v>0</v>
      </c>
      <c r="U41" s="167"/>
      <c r="V41" s="167">
        <f t="shared" si="4"/>
        <v>0</v>
      </c>
      <c r="W41" s="167"/>
      <c r="X41" s="167">
        <f t="shared" si="5"/>
        <v>0</v>
      </c>
      <c r="Y41" s="167"/>
      <c r="Z41" s="167">
        <f t="shared" si="6"/>
        <v>0</v>
      </c>
      <c r="AA41" s="167"/>
    </row>
    <row r="42" spans="2:27" ht="21">
      <c r="B42" s="334" t="s">
        <v>757</v>
      </c>
      <c r="C42" s="48" t="s">
        <v>758</v>
      </c>
      <c r="D42" s="16" t="s">
        <v>22</v>
      </c>
      <c r="E42" s="167">
        <v>0</v>
      </c>
      <c r="F42" s="167">
        <v>82.2</v>
      </c>
      <c r="G42" s="167"/>
      <c r="H42" s="167"/>
      <c r="I42" s="167">
        <f t="shared" si="0"/>
        <v>0</v>
      </c>
      <c r="J42" s="167"/>
      <c r="K42" s="167"/>
      <c r="L42" s="167"/>
      <c r="M42" s="167">
        <f t="shared" si="1"/>
        <v>0</v>
      </c>
      <c r="N42" s="167">
        <f>321.603+41.616</f>
        <v>363.21899999999999</v>
      </c>
      <c r="O42" s="167">
        <f t="shared" si="2"/>
        <v>377.74776000000003</v>
      </c>
      <c r="P42" s="167"/>
      <c r="Q42" s="167">
        <f t="shared" si="7"/>
        <v>115.53908045977013</v>
      </c>
      <c r="R42" s="167">
        <v>62.487000000000002</v>
      </c>
      <c r="S42" s="167">
        <v>38.031999999999996</v>
      </c>
      <c r="T42" s="167">
        <f t="shared" si="3"/>
        <v>120.16064367816094</v>
      </c>
      <c r="U42" s="167"/>
      <c r="V42" s="167">
        <f t="shared" si="4"/>
        <v>124.96706942528738</v>
      </c>
      <c r="W42" s="167"/>
      <c r="X42" s="167">
        <f t="shared" si="5"/>
        <v>129.96575220229889</v>
      </c>
      <c r="Y42" s="167"/>
      <c r="Z42" s="167">
        <f t="shared" si="6"/>
        <v>135.16438229039085</v>
      </c>
      <c r="AA42" s="167"/>
    </row>
    <row r="43" spans="2:27" ht="21">
      <c r="B43" s="334" t="s">
        <v>759</v>
      </c>
      <c r="C43" s="48" t="s">
        <v>760</v>
      </c>
      <c r="D43" s="16" t="s">
        <v>22</v>
      </c>
      <c r="E43" s="167"/>
      <c r="F43" s="167">
        <v>1181.07</v>
      </c>
      <c r="G43" s="167"/>
      <c r="H43" s="167"/>
      <c r="I43" s="167">
        <f t="shared" si="0"/>
        <v>0</v>
      </c>
      <c r="J43" s="167"/>
      <c r="K43" s="167"/>
      <c r="L43" s="167"/>
      <c r="M43" s="167">
        <f t="shared" si="1"/>
        <v>0</v>
      </c>
      <c r="N43" s="167">
        <f>196.83</f>
        <v>196.83</v>
      </c>
      <c r="O43" s="167">
        <f t="shared" si="2"/>
        <v>204.70320000000001</v>
      </c>
      <c r="P43" s="167"/>
      <c r="Q43" s="167">
        <f t="shared" si="7"/>
        <v>0</v>
      </c>
      <c r="R43" s="167"/>
      <c r="S43" s="167"/>
      <c r="T43" s="167">
        <f t="shared" si="3"/>
        <v>0</v>
      </c>
      <c r="U43" s="167"/>
      <c r="V43" s="167">
        <f t="shared" si="4"/>
        <v>0</v>
      </c>
      <c r="W43" s="167"/>
      <c r="X43" s="167">
        <f t="shared" si="5"/>
        <v>0</v>
      </c>
      <c r="Y43" s="167"/>
      <c r="Z43" s="167">
        <f t="shared" si="6"/>
        <v>0</v>
      </c>
      <c r="AA43" s="167"/>
    </row>
    <row r="44" spans="2:27" ht="21">
      <c r="B44" s="334" t="s">
        <v>761</v>
      </c>
      <c r="C44" s="48" t="s">
        <v>762</v>
      </c>
      <c r="D44" s="16" t="s">
        <v>22</v>
      </c>
      <c r="E44" s="167"/>
      <c r="F44" s="167">
        <v>2239.08</v>
      </c>
      <c r="G44" s="167"/>
      <c r="H44" s="167"/>
      <c r="I44" s="167">
        <f t="shared" si="0"/>
        <v>0</v>
      </c>
      <c r="J44" s="167"/>
      <c r="K44" s="167">
        <v>138.57</v>
      </c>
      <c r="L44" s="167">
        <v>99.715000000000003</v>
      </c>
      <c r="M44" s="167">
        <f t="shared" si="1"/>
        <v>0</v>
      </c>
      <c r="N44" s="167"/>
      <c r="O44" s="167">
        <f t="shared" si="2"/>
        <v>0</v>
      </c>
      <c r="P44" s="167"/>
      <c r="Q44" s="167">
        <f t="shared" si="7"/>
        <v>0</v>
      </c>
      <c r="R44" s="167"/>
      <c r="S44" s="167"/>
      <c r="T44" s="167">
        <f t="shared" si="3"/>
        <v>0</v>
      </c>
      <c r="U44" s="167"/>
      <c r="V44" s="167">
        <f t="shared" si="4"/>
        <v>0</v>
      </c>
      <c r="W44" s="167"/>
      <c r="X44" s="167">
        <f t="shared" si="5"/>
        <v>0</v>
      </c>
      <c r="Y44" s="167"/>
      <c r="Z44" s="167">
        <f t="shared" si="6"/>
        <v>0</v>
      </c>
      <c r="AA44" s="167"/>
    </row>
    <row r="45" spans="2:27" ht="21">
      <c r="B45" s="334" t="s">
        <v>763</v>
      </c>
      <c r="C45" s="48" t="s">
        <v>764</v>
      </c>
      <c r="D45" s="16"/>
      <c r="E45" s="167"/>
      <c r="F45" s="167"/>
      <c r="G45" s="167">
        <v>0</v>
      </c>
      <c r="H45" s="167"/>
      <c r="I45" s="167">
        <f t="shared" si="0"/>
        <v>0</v>
      </c>
      <c r="J45" s="167"/>
      <c r="K45" s="167"/>
      <c r="L45" s="167"/>
      <c r="M45" s="167">
        <f t="shared" si="1"/>
        <v>0</v>
      </c>
      <c r="N45" s="167"/>
      <c r="O45" s="167">
        <f t="shared" si="2"/>
        <v>0</v>
      </c>
      <c r="P45" s="167"/>
      <c r="Q45" s="167">
        <f t="shared" si="7"/>
        <v>0</v>
      </c>
      <c r="R45" s="167"/>
      <c r="S45" s="167"/>
      <c r="T45" s="167">
        <f t="shared" si="3"/>
        <v>0</v>
      </c>
      <c r="U45" s="167"/>
      <c r="V45" s="167">
        <f t="shared" si="4"/>
        <v>0</v>
      </c>
      <c r="W45" s="167"/>
      <c r="X45" s="167">
        <f t="shared" si="5"/>
        <v>0</v>
      </c>
      <c r="Y45" s="167"/>
      <c r="Z45" s="167">
        <f t="shared" si="6"/>
        <v>0</v>
      </c>
      <c r="AA45" s="167"/>
    </row>
    <row r="46" spans="2:27">
      <c r="B46" s="334" t="s">
        <v>765</v>
      </c>
      <c r="C46" s="48" t="s">
        <v>766</v>
      </c>
      <c r="D46" s="16" t="s">
        <v>22</v>
      </c>
      <c r="E46" s="167"/>
      <c r="F46" s="167">
        <v>2762.37</v>
      </c>
      <c r="G46" s="167"/>
      <c r="H46" s="167"/>
      <c r="I46" s="167">
        <f t="shared" si="0"/>
        <v>0</v>
      </c>
      <c r="J46" s="167"/>
      <c r="K46" s="167"/>
      <c r="L46" s="167"/>
      <c r="M46" s="167">
        <f t="shared" si="1"/>
        <v>0</v>
      </c>
      <c r="N46" s="167"/>
      <c r="O46" s="167">
        <f t="shared" si="2"/>
        <v>0</v>
      </c>
      <c r="P46" s="167"/>
      <c r="Q46" s="167">
        <f t="shared" si="7"/>
        <v>0</v>
      </c>
      <c r="R46" s="167"/>
      <c r="S46" s="167"/>
      <c r="T46" s="167">
        <f t="shared" si="3"/>
        <v>0</v>
      </c>
      <c r="U46" s="167"/>
      <c r="V46" s="167">
        <f t="shared" si="4"/>
        <v>0</v>
      </c>
      <c r="W46" s="167"/>
      <c r="X46" s="167">
        <f t="shared" si="5"/>
        <v>0</v>
      </c>
      <c r="Y46" s="167"/>
      <c r="Z46" s="167">
        <f t="shared" si="6"/>
        <v>0</v>
      </c>
      <c r="AA46" s="167"/>
    </row>
    <row r="47" spans="2:27" ht="21">
      <c r="B47" s="334" t="s">
        <v>767</v>
      </c>
      <c r="C47" s="48" t="s">
        <v>768</v>
      </c>
      <c r="D47" s="16" t="s">
        <v>22</v>
      </c>
      <c r="E47" s="167"/>
      <c r="F47" s="167">
        <v>52.3</v>
      </c>
      <c r="G47" s="167"/>
      <c r="H47" s="167"/>
      <c r="I47" s="167">
        <f t="shared" si="0"/>
        <v>0</v>
      </c>
      <c r="J47" s="167"/>
      <c r="K47" s="167"/>
      <c r="L47" s="167"/>
      <c r="M47" s="167">
        <f t="shared" si="1"/>
        <v>0</v>
      </c>
      <c r="N47" s="167"/>
      <c r="O47" s="167">
        <f t="shared" si="2"/>
        <v>0</v>
      </c>
      <c r="P47" s="167"/>
      <c r="Q47" s="167">
        <f t="shared" si="7"/>
        <v>0</v>
      </c>
      <c r="R47" s="167"/>
      <c r="S47" s="167"/>
      <c r="T47" s="167">
        <f t="shared" si="3"/>
        <v>0</v>
      </c>
      <c r="U47" s="167"/>
      <c r="V47" s="167">
        <f t="shared" si="4"/>
        <v>0</v>
      </c>
      <c r="W47" s="167"/>
      <c r="X47" s="167">
        <f t="shared" si="5"/>
        <v>0</v>
      </c>
      <c r="Y47" s="167"/>
      <c r="Z47" s="167">
        <f t="shared" si="6"/>
        <v>0</v>
      </c>
      <c r="AA47" s="167"/>
    </row>
    <row r="48" spans="2:27" ht="21">
      <c r="B48" s="334" t="s">
        <v>769</v>
      </c>
      <c r="C48" s="48" t="s">
        <v>770</v>
      </c>
      <c r="D48" s="16" t="s">
        <v>22</v>
      </c>
      <c r="E48" s="167"/>
      <c r="F48" s="167">
        <v>508.33</v>
      </c>
      <c r="G48" s="167"/>
      <c r="H48" s="167"/>
      <c r="I48" s="167">
        <f t="shared" si="0"/>
        <v>0</v>
      </c>
      <c r="J48" s="167"/>
      <c r="K48" s="167"/>
      <c r="L48" s="167"/>
      <c r="M48" s="167">
        <f t="shared" si="1"/>
        <v>0</v>
      </c>
      <c r="N48" s="167">
        <f>708.13+394.186+3.9+3.4+587</f>
        <v>1696.6160000000002</v>
      </c>
      <c r="O48" s="167">
        <f t="shared" si="2"/>
        <v>1764.4806400000002</v>
      </c>
      <c r="P48" s="167"/>
      <c r="Q48" s="167">
        <f t="shared" si="7"/>
        <v>1298.3620689655172</v>
      </c>
      <c r="R48" s="167">
        <v>699.38099999999997</v>
      </c>
      <c r="S48" s="167">
        <v>430.19400000000002</v>
      </c>
      <c r="T48" s="167">
        <f t="shared" si="3"/>
        <v>1350.296551724138</v>
      </c>
      <c r="U48" s="167"/>
      <c r="V48" s="167">
        <f t="shared" si="4"/>
        <v>1404.3084137931035</v>
      </c>
      <c r="W48" s="167"/>
      <c r="X48" s="167">
        <f t="shared" si="5"/>
        <v>1460.4807503448276</v>
      </c>
      <c r="Y48" s="167"/>
      <c r="Z48" s="167">
        <f t="shared" si="6"/>
        <v>1518.8999803586207</v>
      </c>
      <c r="AA48" s="167"/>
    </row>
    <row r="49" spans="2:32" ht="21">
      <c r="B49" s="334" t="s">
        <v>771</v>
      </c>
      <c r="C49" s="48" t="s">
        <v>772</v>
      </c>
      <c r="D49" s="16"/>
      <c r="E49" s="167"/>
      <c r="F49" s="167"/>
      <c r="G49" s="167">
        <v>81.98</v>
      </c>
      <c r="H49" s="167">
        <v>50</v>
      </c>
      <c r="I49" s="167">
        <f t="shared" si="0"/>
        <v>84.406608000000006</v>
      </c>
      <c r="J49" s="167">
        <v>69</v>
      </c>
      <c r="K49" s="167"/>
      <c r="L49" s="167"/>
      <c r="M49" s="167">
        <f t="shared" si="1"/>
        <v>86.654355971040005</v>
      </c>
      <c r="N49" s="167">
        <f>147.39</f>
        <v>147.38999999999999</v>
      </c>
      <c r="O49" s="167">
        <f t="shared" si="2"/>
        <v>153.28559999999999</v>
      </c>
      <c r="P49" s="167"/>
      <c r="Q49" s="167">
        <f t="shared" si="7"/>
        <v>201.90574712643681</v>
      </c>
      <c r="R49" s="167">
        <v>62.847000000000001</v>
      </c>
      <c r="S49" s="167">
        <v>112.81100000000001</v>
      </c>
      <c r="T49" s="167">
        <f t="shared" si="3"/>
        <v>209.98197701149428</v>
      </c>
      <c r="U49" s="167"/>
      <c r="V49" s="167">
        <f t="shared" si="4"/>
        <v>218.38125609195407</v>
      </c>
      <c r="W49" s="167"/>
      <c r="X49" s="167">
        <f t="shared" si="5"/>
        <v>227.11650633563224</v>
      </c>
      <c r="Y49" s="167"/>
      <c r="Z49" s="167">
        <f t="shared" si="6"/>
        <v>236.20116658905752</v>
      </c>
      <c r="AA49" s="167"/>
    </row>
    <row r="50" spans="2:32" ht="31.5">
      <c r="B50" s="334" t="s">
        <v>773</v>
      </c>
      <c r="C50" s="48" t="s">
        <v>774</v>
      </c>
      <c r="D50" s="16"/>
      <c r="E50" s="167"/>
      <c r="F50" s="167"/>
      <c r="G50" s="167">
        <v>124.22</v>
      </c>
      <c r="H50" s="167">
        <v>331.96</v>
      </c>
      <c r="I50" s="167">
        <f t="shared" si="0"/>
        <v>127.89691200000001</v>
      </c>
      <c r="J50" s="167">
        <v>294.16000000000003</v>
      </c>
      <c r="K50" s="167">
        <v>199.5</v>
      </c>
      <c r="L50" s="167">
        <v>203.2</v>
      </c>
      <c r="M50" s="167">
        <f t="shared" si="1"/>
        <v>131.30280676656</v>
      </c>
      <c r="N50" s="167">
        <f>254.57+253.68</f>
        <v>508.25</v>
      </c>
      <c r="O50" s="167">
        <f t="shared" si="2"/>
        <v>528.58000000000004</v>
      </c>
      <c r="P50" s="167"/>
      <c r="Q50" s="167">
        <f t="shared" si="7"/>
        <v>871.84137931034479</v>
      </c>
      <c r="R50" s="167">
        <v>356.48899999999998</v>
      </c>
      <c r="S50" s="167">
        <v>402.01299999999998</v>
      </c>
      <c r="T50" s="167">
        <f t="shared" si="3"/>
        <v>906.7150344827586</v>
      </c>
      <c r="U50" s="167"/>
      <c r="V50" s="167">
        <f t="shared" si="4"/>
        <v>942.98363586206892</v>
      </c>
      <c r="W50" s="167"/>
      <c r="X50" s="167">
        <f t="shared" si="5"/>
        <v>980.70298129655168</v>
      </c>
      <c r="Y50" s="167"/>
      <c r="Z50" s="167">
        <f t="shared" si="6"/>
        <v>1019.9311005484138</v>
      </c>
      <c r="AA50" s="167"/>
    </row>
    <row r="51" spans="2:32" ht="21" hidden="1">
      <c r="B51" s="334" t="s">
        <v>775</v>
      </c>
      <c r="C51" s="48" t="s">
        <v>776</v>
      </c>
      <c r="D51" s="16"/>
      <c r="E51" s="167"/>
      <c r="F51" s="167"/>
      <c r="G51" s="167">
        <v>0</v>
      </c>
      <c r="H51" s="167"/>
      <c r="I51" s="167"/>
      <c r="J51" s="167"/>
      <c r="K51" s="167"/>
      <c r="L51" s="167"/>
      <c r="M51" s="167">
        <f t="shared" si="1"/>
        <v>0</v>
      </c>
      <c r="N51" s="167"/>
      <c r="O51" s="167"/>
      <c r="P51" s="167"/>
      <c r="Q51" s="167">
        <f t="shared" si="7"/>
        <v>0</v>
      </c>
      <c r="R51" s="167"/>
      <c r="S51" s="167"/>
      <c r="T51" s="167">
        <f t="shared" si="3"/>
        <v>0</v>
      </c>
      <c r="U51" s="167"/>
      <c r="V51" s="167">
        <f t="shared" si="4"/>
        <v>0</v>
      </c>
      <c r="W51" s="167"/>
      <c r="X51" s="167"/>
      <c r="Y51" s="167"/>
      <c r="Z51" s="167"/>
      <c r="AA51" s="167"/>
    </row>
    <row r="52" spans="2:32">
      <c r="B52" s="334" t="s">
        <v>775</v>
      </c>
      <c r="C52" s="48" t="s">
        <v>781</v>
      </c>
      <c r="D52" s="16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>
        <f t="shared" si="7"/>
        <v>0</v>
      </c>
      <c r="R52" s="167"/>
      <c r="S52" s="167"/>
      <c r="T52" s="167">
        <f t="shared" si="3"/>
        <v>0</v>
      </c>
      <c r="U52" s="167"/>
      <c r="V52" s="167"/>
      <c r="W52" s="167"/>
      <c r="X52" s="167"/>
      <c r="Y52" s="167"/>
      <c r="Z52" s="167"/>
      <c r="AA52" s="167"/>
    </row>
    <row r="53" spans="2:32" ht="21">
      <c r="B53" s="334" t="s">
        <v>782</v>
      </c>
      <c r="C53" s="48" t="s">
        <v>783</v>
      </c>
      <c r="D53" s="16"/>
      <c r="E53" s="167"/>
      <c r="F53" s="167"/>
      <c r="G53" s="167"/>
      <c r="H53" s="167"/>
      <c r="I53" s="167"/>
      <c r="J53" s="167"/>
      <c r="K53" s="167"/>
      <c r="L53" s="167"/>
      <c r="M53" s="167"/>
      <c r="N53" s="167">
        <f>110.48+79.589</f>
        <v>190.06900000000002</v>
      </c>
      <c r="O53" s="167">
        <f>N53*O2</f>
        <v>197.67176000000003</v>
      </c>
      <c r="P53" s="167"/>
      <c r="Q53" s="167">
        <f t="shared" si="7"/>
        <v>221.3126436781609</v>
      </c>
      <c r="R53" s="167">
        <v>111.05800000000001</v>
      </c>
      <c r="S53" s="167">
        <v>81.483999999999995</v>
      </c>
      <c r="T53" s="167">
        <f t="shared" si="3"/>
        <v>230.16514942528735</v>
      </c>
      <c r="U53" s="167"/>
      <c r="V53" s="167">
        <f>T53</f>
        <v>230.16514942528735</v>
      </c>
      <c r="W53" s="167"/>
      <c r="X53" s="167">
        <v>0</v>
      </c>
      <c r="Y53" s="167"/>
      <c r="Z53" s="167">
        <v>0</v>
      </c>
      <c r="AA53" s="167"/>
    </row>
    <row r="54" spans="2:32" ht="21">
      <c r="B54" s="334"/>
      <c r="C54" s="48" t="s">
        <v>784</v>
      </c>
      <c r="D54" s="16"/>
      <c r="E54" s="167"/>
      <c r="F54" s="167"/>
      <c r="G54" s="167"/>
      <c r="H54" s="167"/>
      <c r="I54" s="167"/>
      <c r="J54" s="167"/>
      <c r="K54" s="167"/>
      <c r="L54" s="167"/>
      <c r="M54" s="167"/>
      <c r="N54" s="167">
        <v>17.199000000000002</v>
      </c>
      <c r="O54" s="167">
        <f>N54*O2</f>
        <v>17.886960000000002</v>
      </c>
      <c r="P54" s="167"/>
      <c r="Q54" s="167">
        <f t="shared" si="7"/>
        <v>172.1390804597701</v>
      </c>
      <c r="R54" s="167">
        <v>106.58499999999999</v>
      </c>
      <c r="S54" s="167">
        <v>43.176000000000002</v>
      </c>
      <c r="T54" s="167">
        <f t="shared" si="3"/>
        <v>179.02464367816091</v>
      </c>
      <c r="U54" s="167"/>
      <c r="V54" s="167">
        <f>T54</f>
        <v>179.02464367816091</v>
      </c>
      <c r="W54" s="167"/>
      <c r="X54" s="167">
        <f>V54</f>
        <v>179.02464367816091</v>
      </c>
      <c r="Y54" s="167"/>
      <c r="Z54" s="167">
        <f>X54</f>
        <v>179.02464367816091</v>
      </c>
      <c r="AA54" s="167"/>
    </row>
    <row r="55" spans="2:32">
      <c r="B55" s="334"/>
      <c r="C55" s="48" t="s">
        <v>785</v>
      </c>
      <c r="D55" s="16"/>
      <c r="E55" s="167"/>
      <c r="F55" s="167"/>
      <c r="G55" s="167"/>
      <c r="H55" s="167"/>
      <c r="I55" s="167"/>
      <c r="J55" s="167"/>
      <c r="K55" s="167"/>
      <c r="L55" s="167"/>
      <c r="M55" s="167"/>
      <c r="N55" s="167">
        <v>8.0229999999999997</v>
      </c>
      <c r="O55" s="167">
        <f>N55*O2</f>
        <v>8.3439200000000007</v>
      </c>
      <c r="P55" s="167"/>
      <c r="Q55" s="167">
        <f t="shared" si="7"/>
        <v>0</v>
      </c>
      <c r="R55" s="167"/>
      <c r="S55" s="167"/>
      <c r="T55" s="167">
        <f t="shared" si="3"/>
        <v>0</v>
      </c>
      <c r="U55" s="167"/>
      <c r="V55" s="167">
        <f>T55</f>
        <v>0</v>
      </c>
      <c r="W55" s="167"/>
      <c r="X55" s="167">
        <f>V55</f>
        <v>0</v>
      </c>
      <c r="Y55" s="167"/>
      <c r="Z55" s="167">
        <f>X55</f>
        <v>0</v>
      </c>
      <c r="AA55" s="167"/>
    </row>
    <row r="56" spans="2:32" ht="21">
      <c r="B56" s="334"/>
      <c r="C56" s="48" t="s">
        <v>786</v>
      </c>
      <c r="D56" s="16"/>
      <c r="E56" s="167"/>
      <c r="F56" s="167"/>
      <c r="G56" s="167"/>
      <c r="H56" s="167"/>
      <c r="I56" s="167"/>
      <c r="J56" s="167"/>
      <c r="K56" s="167"/>
      <c r="L56" s="167"/>
      <c r="M56" s="167"/>
      <c r="N56" s="167">
        <f>11.544+13.5</f>
        <v>25.044</v>
      </c>
      <c r="O56" s="167">
        <f>N56*O2</f>
        <v>26.045760000000001</v>
      </c>
      <c r="P56" s="167"/>
      <c r="Q56" s="167">
        <f t="shared" si="7"/>
        <v>0</v>
      </c>
      <c r="R56" s="167"/>
      <c r="S56" s="167"/>
      <c r="T56" s="167">
        <f t="shared" si="3"/>
        <v>0</v>
      </c>
      <c r="U56" s="167"/>
      <c r="V56" s="167">
        <f>T56</f>
        <v>0</v>
      </c>
      <c r="W56" s="167"/>
      <c r="X56" s="167">
        <f>V56</f>
        <v>0</v>
      </c>
      <c r="Y56" s="167"/>
      <c r="Z56" s="167">
        <f>X56</f>
        <v>0</v>
      </c>
      <c r="AA56" s="167"/>
    </row>
    <row r="57" spans="2:32">
      <c r="B57" s="340"/>
      <c r="C57" s="295" t="s">
        <v>686</v>
      </c>
      <c r="D57" s="296" t="s">
        <v>544</v>
      </c>
      <c r="E57" s="297">
        <f>SUM(E7:E49)-E9</f>
        <v>89757.160000000033</v>
      </c>
      <c r="F57" s="297">
        <f>SUM(F7:F49)-F9</f>
        <v>76916.349999999991</v>
      </c>
      <c r="G57" s="297">
        <f>SUM(G7:G51)-G9</f>
        <v>26517.79</v>
      </c>
      <c r="H57" s="297">
        <f>SUM(H7:H50)-H9</f>
        <v>51205.67</v>
      </c>
      <c r="I57" s="297">
        <f>SUM(I7:I50)-I9</f>
        <v>27302.716584000005</v>
      </c>
      <c r="J57" s="297">
        <f>SUM(J7:J50)-J9</f>
        <v>32280.641000000003</v>
      </c>
      <c r="K57" s="297">
        <f>SUM(K7:K50)-K9</f>
        <v>1291.529</v>
      </c>
      <c r="L57" s="297">
        <f>SUM(L7:L50)-L9</f>
        <v>1485.7950000000001</v>
      </c>
      <c r="M57" s="297">
        <f>SUM(M7:M56)-M9</f>
        <v>28029.787926631918</v>
      </c>
      <c r="N57" s="297">
        <f>SUM(N7:N56)-N9</f>
        <v>41676.149000000012</v>
      </c>
      <c r="O57" s="297">
        <f>SUM(O7:O56)-O9</f>
        <v>43168.039199999999</v>
      </c>
      <c r="P57" s="297">
        <v>23246.639999999999</v>
      </c>
      <c r="Q57" s="297">
        <f>SUM(Q7:Q56)</f>
        <v>25979.234712643683</v>
      </c>
      <c r="R57" s="297">
        <f>SUM(R7:R56)</f>
        <v>12324.536199999999</v>
      </c>
      <c r="S57" s="297">
        <f>SUM(S7:S56)</f>
        <v>10277.397999999999</v>
      </c>
      <c r="T57" s="297">
        <f>SUM(T7:T56)</f>
        <v>27018.40410114943</v>
      </c>
      <c r="U57" s="297">
        <f t="shared" ref="U57:AA57" si="8">SUM(U7:U56)-U9</f>
        <v>0</v>
      </c>
      <c r="V57" s="297">
        <f t="shared" si="8"/>
        <v>28082.772673471271</v>
      </c>
      <c r="W57" s="297">
        <f t="shared" si="8"/>
        <v>0</v>
      </c>
      <c r="X57" s="297">
        <f t="shared" si="8"/>
        <v>28959.550839260683</v>
      </c>
      <c r="Y57" s="297">
        <f t="shared" si="8"/>
        <v>0</v>
      </c>
      <c r="Z57" s="297">
        <f t="shared" si="8"/>
        <v>30110.771887083985</v>
      </c>
      <c r="AA57" s="297">
        <f t="shared" si="8"/>
        <v>0</v>
      </c>
    </row>
    <row r="58" spans="2:32" ht="63">
      <c r="B58" s="340"/>
      <c r="C58" s="48" t="s">
        <v>777</v>
      </c>
      <c r="D58" s="204"/>
      <c r="E58" s="204"/>
      <c r="F58" s="167">
        <v>10492.11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321"/>
      <c r="S58" s="204"/>
      <c r="T58" s="204"/>
      <c r="U58" s="204"/>
      <c r="V58" s="204"/>
      <c r="W58" s="204"/>
      <c r="X58" s="204"/>
      <c r="Y58" s="204"/>
      <c r="Z58" s="204"/>
      <c r="AA58" s="204"/>
    </row>
    <row r="59" spans="2:32">
      <c r="C59" s="315" t="s">
        <v>689</v>
      </c>
      <c r="J59" s="341">
        <v>0.48</v>
      </c>
      <c r="N59" s="341">
        <v>0.47199999999999998</v>
      </c>
      <c r="O59" s="341">
        <v>0.48</v>
      </c>
      <c r="R59" s="1022">
        <v>0.49399999999999999</v>
      </c>
      <c r="T59" s="341">
        <v>0.48</v>
      </c>
      <c r="V59" s="341">
        <v>0.48</v>
      </c>
      <c r="X59" s="341">
        <v>0.48</v>
      </c>
      <c r="Z59" s="341">
        <v>0.48</v>
      </c>
    </row>
    <row r="60" spans="2:32">
      <c r="C60" s="319" t="s">
        <v>690</v>
      </c>
      <c r="J60" s="341">
        <v>0.34</v>
      </c>
      <c r="N60" s="341">
        <v>0.35099999999999998</v>
      </c>
      <c r="O60" s="341">
        <v>0.34</v>
      </c>
      <c r="R60" s="1022">
        <v>0.37740000000000001</v>
      </c>
      <c r="T60" s="341">
        <v>0.39</v>
      </c>
      <c r="V60" s="341">
        <v>0.39</v>
      </c>
      <c r="X60" s="341">
        <v>0.39</v>
      </c>
      <c r="Z60" s="341">
        <v>0.39</v>
      </c>
    </row>
    <row r="61" spans="2:32" ht="38.25">
      <c r="B61" s="342" t="s">
        <v>688</v>
      </c>
      <c r="C61" s="310" t="s">
        <v>1271</v>
      </c>
      <c r="D61" s="204"/>
      <c r="E61" s="204"/>
      <c r="F61" s="204"/>
      <c r="G61" s="204"/>
      <c r="H61" s="204"/>
      <c r="I61" s="204"/>
      <c r="J61" s="204" t="s">
        <v>778</v>
      </c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</row>
    <row r="62" spans="2:32">
      <c r="B62" s="343">
        <v>0.56299999999999994</v>
      </c>
      <c r="C62" s="315" t="s">
        <v>689</v>
      </c>
      <c r="D62" s="204"/>
      <c r="E62" s="344">
        <f>E57*B62</f>
        <v>50533.281080000015</v>
      </c>
      <c r="F62" s="344">
        <f>F57*B62</f>
        <v>43303.905049999994</v>
      </c>
      <c r="G62" s="345">
        <f>G57*B62</f>
        <v>14929.515769999998</v>
      </c>
      <c r="H62" s="321">
        <f>H57*0.56</f>
        <v>28675.175200000001</v>
      </c>
      <c r="I62" s="321">
        <f>I57*B62-0.01</f>
        <v>15371.419436792001</v>
      </c>
      <c r="J62" s="321">
        <f>J57*J59+K57</f>
        <v>16786.236680000002</v>
      </c>
      <c r="K62" s="321"/>
      <c r="L62" s="321"/>
      <c r="M62" s="321">
        <f>M57*B62-0.01</f>
        <v>15780.760602693768</v>
      </c>
      <c r="N62" s="321">
        <f>N57*N59</f>
        <v>19671.142328000005</v>
      </c>
      <c r="O62" s="321">
        <f>O57*O59</f>
        <v>20720.658815999999</v>
      </c>
      <c r="P62" s="321">
        <f>P57/100*56.3</f>
        <v>13087.858319999999</v>
      </c>
      <c r="Q62" s="321"/>
      <c r="R62" s="321">
        <f>R57</f>
        <v>12324.536199999999</v>
      </c>
      <c r="S62" s="321"/>
      <c r="T62" s="321">
        <f>R62*T2</f>
        <v>12817.517647999999</v>
      </c>
      <c r="U62" s="321"/>
      <c r="V62" s="321">
        <f>V57*V59</f>
        <v>13479.730883266209</v>
      </c>
      <c r="W62" s="321"/>
      <c r="X62" s="321">
        <f>X57*X59</f>
        <v>13900.584402845127</v>
      </c>
      <c r="Y62" s="321"/>
      <c r="Z62" s="321">
        <f>Z57*Z59</f>
        <v>14453.170505800312</v>
      </c>
      <c r="AA62" s="321"/>
      <c r="AC62" s="341">
        <f>B62+B63</f>
        <v>0.90300000000000002</v>
      </c>
      <c r="AD62" s="134">
        <f>S62+S63</f>
        <v>0</v>
      </c>
      <c r="AF62" s="134">
        <f>R62+R63</f>
        <v>22601.934199999996</v>
      </c>
    </row>
    <row r="63" spans="2:32">
      <c r="B63" s="343">
        <v>0.34</v>
      </c>
      <c r="C63" s="319" t="s">
        <v>690</v>
      </c>
      <c r="D63" s="204"/>
      <c r="E63" s="344">
        <f>E57*B63</f>
        <v>30517.434400000013</v>
      </c>
      <c r="F63" s="344">
        <f>F57*B63</f>
        <v>26151.558999999997</v>
      </c>
      <c r="G63" s="344">
        <f>G57*B63</f>
        <v>9016.0486000000001</v>
      </c>
      <c r="H63" s="321">
        <f>H57*B63</f>
        <v>17409.927800000001</v>
      </c>
      <c r="I63" s="17">
        <v>28835.32</v>
      </c>
      <c r="J63" s="321">
        <f>J57*J60+L57</f>
        <v>12461.212940000001</v>
      </c>
      <c r="K63" s="321"/>
      <c r="L63" s="321"/>
      <c r="M63" s="321">
        <v>29603.21</v>
      </c>
      <c r="N63" s="321">
        <f>N57*N60</f>
        <v>14628.328299000003</v>
      </c>
      <c r="O63" s="321">
        <f>O57*O60</f>
        <v>14677.133328</v>
      </c>
      <c r="P63" s="321">
        <v>9638.85</v>
      </c>
      <c r="Q63" s="321"/>
      <c r="R63" s="321">
        <f>S57</f>
        <v>10277.397999999999</v>
      </c>
      <c r="S63" s="321"/>
      <c r="T63" s="321">
        <f>T57*T60</f>
        <v>10537.177599448278</v>
      </c>
      <c r="U63" s="321"/>
      <c r="V63" s="321">
        <f>V57*V60</f>
        <v>10952.281342653796</v>
      </c>
      <c r="W63" s="321"/>
      <c r="X63" s="321">
        <f>X57*X60</f>
        <v>11294.224827311667</v>
      </c>
      <c r="Y63" s="321"/>
      <c r="Z63" s="321">
        <f>Z57*Z60</f>
        <v>11743.201035962755</v>
      </c>
      <c r="AA63" s="321"/>
      <c r="AD63">
        <f>AD62/AC62</f>
        <v>0</v>
      </c>
      <c r="AF63">
        <f>AF62/87.1*100</f>
        <v>25949.407807118252</v>
      </c>
    </row>
    <row r="64" spans="2:32" ht="38.25">
      <c r="B64" s="342" t="s">
        <v>688</v>
      </c>
      <c r="C64" s="310" t="s">
        <v>779</v>
      </c>
      <c r="D64" s="20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204"/>
      <c r="U64" s="204"/>
      <c r="V64" s="204"/>
      <c r="W64" s="204"/>
      <c r="X64" s="204"/>
      <c r="Y64" s="204"/>
      <c r="Z64" s="204"/>
      <c r="AA64" s="204"/>
    </row>
    <row r="65" spans="2:32">
      <c r="B65" s="340"/>
      <c r="C65" s="315" t="s">
        <v>689</v>
      </c>
      <c r="D65" s="20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204"/>
      <c r="U65" s="204"/>
      <c r="V65" s="204"/>
      <c r="W65" s="204"/>
      <c r="X65" s="204"/>
      <c r="Y65" s="204"/>
      <c r="Z65" s="204"/>
      <c r="AA65" s="204"/>
      <c r="AF65">
        <f>R62/Q57</f>
        <v>0.47439950931279135</v>
      </c>
    </row>
    <row r="66" spans="2:32">
      <c r="B66" s="340"/>
      <c r="C66" s="319" t="s">
        <v>690</v>
      </c>
      <c r="D66" s="20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204"/>
      <c r="U66" s="204"/>
      <c r="V66" s="204"/>
      <c r="W66" s="204"/>
      <c r="X66" s="204"/>
      <c r="Y66" s="204"/>
      <c r="Z66" s="204"/>
      <c r="AA66" s="204"/>
      <c r="AF66">
        <f>R63/Q57</f>
        <v>0.39560049068720843</v>
      </c>
    </row>
    <row r="68" spans="2:32">
      <c r="C68" t="s">
        <v>1216</v>
      </c>
      <c r="P68" t="s">
        <v>1264</v>
      </c>
    </row>
  </sheetData>
  <mergeCells count="13">
    <mergeCell ref="I3:J3"/>
    <mergeCell ref="B3:B4"/>
    <mergeCell ref="C3:C4"/>
    <mergeCell ref="D3:D4"/>
    <mergeCell ref="E3:F3"/>
    <mergeCell ref="G3:H3"/>
    <mergeCell ref="Z3:AA3"/>
    <mergeCell ref="K3:L3"/>
    <mergeCell ref="M3:N3"/>
    <mergeCell ref="T3:U3"/>
    <mergeCell ref="V3:W3"/>
    <mergeCell ref="X3:Y3"/>
    <mergeCell ref="O3:S3"/>
  </mergeCells>
  <pageMargins left="0.31496062992125984" right="0.11811023622047245" top="0.55118110236220474" bottom="0.35433070866141736" header="0.31496062992125984" footer="0.31496062992125984"/>
  <pageSetup paperSize="9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2:BB72"/>
  <sheetViews>
    <sheetView topLeftCell="AH2" workbookViewId="0">
      <selection activeCell="AK16" sqref="AK16"/>
    </sheetView>
  </sheetViews>
  <sheetFormatPr defaultColWidth="8.85546875" defaultRowHeight="15" outlineLevelCol="1"/>
  <cols>
    <col min="1" max="1" width="3.7109375" customWidth="1"/>
    <col min="2" max="2" width="7.42578125" style="308" customWidth="1"/>
    <col min="3" max="3" width="30.140625" customWidth="1"/>
    <col min="4" max="4" width="8.85546875" style="246"/>
    <col min="5" max="5" width="11" hidden="1" customWidth="1"/>
    <col min="6" max="6" width="9.140625" hidden="1" customWidth="1"/>
    <col min="7" max="7" width="11.85546875" style="118" hidden="1" customWidth="1" outlineLevel="1"/>
    <col min="8" max="8" width="12" style="1" hidden="1" customWidth="1" outlineLevel="1"/>
    <col min="9" max="9" width="10.28515625" style="1" hidden="1" customWidth="1" outlineLevel="1"/>
    <col min="10" max="10" width="11.42578125" style="1" hidden="1" customWidth="1" outlineLevel="1"/>
    <col min="11" max="12" width="10.28515625" style="1" hidden="1" customWidth="1" outlineLevel="1"/>
    <col min="13" max="13" width="11.28515625" hidden="1" customWidth="1" outlineLevel="1"/>
    <col min="14" max="14" width="11.42578125" hidden="1" customWidth="1" outlineLevel="1"/>
    <col min="15" max="15" width="10.7109375" hidden="1" customWidth="1" outlineLevel="1"/>
    <col min="16" max="16" width="10.85546875" hidden="1" customWidth="1" outlineLevel="1"/>
    <col min="17" max="17" width="11.7109375" hidden="1" customWidth="1" outlineLevel="1"/>
    <col min="18" max="18" width="10" hidden="1" customWidth="1" outlineLevel="1"/>
    <col min="19" max="19" width="11.7109375" hidden="1" customWidth="1"/>
    <col min="20" max="20" width="11.28515625" hidden="1" customWidth="1"/>
    <col min="21" max="21" width="10.85546875" hidden="1" customWidth="1"/>
    <col min="22" max="24" width="10.85546875" hidden="1" customWidth="1" outlineLevel="1"/>
    <col min="25" max="25" width="11" hidden="1" customWidth="1" outlineLevel="1"/>
    <col min="26" max="26" width="10.42578125" hidden="1" customWidth="1" outlineLevel="1"/>
    <col min="27" max="28" width="10.85546875" hidden="1" customWidth="1" outlineLevel="1"/>
    <col min="29" max="29" width="12.140625" hidden="1" customWidth="1" outlineLevel="1"/>
    <col min="30" max="30" width="10.85546875" hidden="1" customWidth="1" outlineLevel="1"/>
    <col min="31" max="31" width="12.42578125" hidden="1" customWidth="1" outlineLevel="1"/>
    <col min="32" max="33" width="10.85546875" hidden="1" customWidth="1" outlineLevel="1"/>
    <col min="34" max="34" width="11.42578125" customWidth="1" outlineLevel="1"/>
    <col min="35" max="35" width="10.28515625" customWidth="1" outlineLevel="1"/>
    <col min="36" max="36" width="10.85546875" customWidth="1" outlineLevel="1"/>
    <col min="37" max="41" width="11.28515625" customWidth="1" outlineLevel="1"/>
    <col min="42" max="42" width="12.42578125" customWidth="1" outlineLevel="1"/>
    <col min="43" max="43" width="11.28515625" customWidth="1"/>
    <col min="44" max="44" width="11.7109375" customWidth="1"/>
    <col min="45" max="45" width="11.140625" customWidth="1"/>
    <col min="46" max="46" width="13" customWidth="1"/>
    <col min="47" max="47" width="10.7109375" customWidth="1"/>
    <col min="48" max="48" width="11.140625" customWidth="1"/>
    <col min="49" max="49" width="11.42578125" customWidth="1"/>
    <col min="50" max="51" width="11" customWidth="1"/>
    <col min="52" max="52" width="11.140625" customWidth="1"/>
    <col min="53" max="53" width="11" customWidth="1"/>
    <col min="54" max="54" width="11.85546875" customWidth="1"/>
  </cols>
  <sheetData>
    <row r="2" spans="2:54" ht="15.75" thickBot="1">
      <c r="B2" s="245" t="s">
        <v>641</v>
      </c>
      <c r="S2">
        <v>1.0296000000000001</v>
      </c>
      <c r="Z2">
        <v>1.0266299999999999</v>
      </c>
      <c r="AB2">
        <v>1.05</v>
      </c>
      <c r="AH2" s="134">
        <f>[7]ИПЦ!I7/100</f>
        <v>1.04</v>
      </c>
      <c r="AQ2" s="134">
        <f>[7]ИПЦ!J7/100</f>
        <v>1.04</v>
      </c>
      <c r="AT2" s="134">
        <f>[7]ИПЦ!K7/100</f>
        <v>1.04</v>
      </c>
      <c r="AU2" s="1025">
        <f>AU7/AI7</f>
        <v>1.3587695416654972</v>
      </c>
      <c r="AW2">
        <v>1.04</v>
      </c>
      <c r="AX2">
        <v>1.03</v>
      </c>
      <c r="AZ2">
        <v>1.04</v>
      </c>
      <c r="BA2">
        <v>1.03</v>
      </c>
    </row>
    <row r="3" spans="2:54" ht="24.75" customHeight="1">
      <c r="B3" s="1611" t="s">
        <v>539</v>
      </c>
      <c r="C3" s="1613" t="s">
        <v>225</v>
      </c>
      <c r="D3" s="1615" t="s">
        <v>642</v>
      </c>
      <c r="E3" s="1617" t="s">
        <v>643</v>
      </c>
      <c r="F3" s="1618"/>
      <c r="G3" s="1605" t="s">
        <v>644</v>
      </c>
      <c r="H3" s="1606"/>
      <c r="I3" s="1607"/>
      <c r="J3" s="1605" t="s">
        <v>4</v>
      </c>
      <c r="K3" s="1606"/>
      <c r="L3" s="1607"/>
      <c r="M3" s="1605" t="s">
        <v>645</v>
      </c>
      <c r="N3" s="1606"/>
      <c r="O3" s="1607"/>
      <c r="P3" s="1605" t="s">
        <v>5</v>
      </c>
      <c r="Q3" s="1606"/>
      <c r="R3" s="1607"/>
      <c r="S3" s="1605" t="s">
        <v>646</v>
      </c>
      <c r="T3" s="1606"/>
      <c r="U3" s="1607"/>
      <c r="V3" s="1605" t="s">
        <v>647</v>
      </c>
      <c r="W3" s="1606"/>
      <c r="X3" s="1607"/>
      <c r="Y3" s="1605" t="s">
        <v>7</v>
      </c>
      <c r="Z3" s="1606"/>
      <c r="AA3" s="1607"/>
      <c r="AB3" s="1605" t="s">
        <v>648</v>
      </c>
      <c r="AC3" s="1606"/>
      <c r="AD3" s="1607"/>
      <c r="AE3" s="1605" t="s">
        <v>691</v>
      </c>
      <c r="AF3" s="1606"/>
      <c r="AG3" s="1607"/>
      <c r="AH3" s="1605" t="s">
        <v>8</v>
      </c>
      <c r="AI3" s="1606"/>
      <c r="AJ3" s="1607"/>
      <c r="AK3" s="1609" t="s">
        <v>1374</v>
      </c>
      <c r="AL3" s="1610"/>
      <c r="AM3" s="1610"/>
      <c r="AN3" s="1605" t="s">
        <v>9</v>
      </c>
      <c r="AO3" s="1606"/>
      <c r="AP3" s="1607"/>
      <c r="AQ3" s="1608" t="s">
        <v>1385</v>
      </c>
      <c r="AR3" s="1606"/>
      <c r="AS3" s="1607"/>
      <c r="AT3" s="1605" t="s">
        <v>10</v>
      </c>
      <c r="AU3" s="1606"/>
      <c r="AV3" s="1607"/>
      <c r="AW3" s="1605" t="s">
        <v>11</v>
      </c>
      <c r="AX3" s="1606"/>
      <c r="AY3" s="1607"/>
      <c r="AZ3" s="1605" t="s">
        <v>12</v>
      </c>
      <c r="BA3" s="1606"/>
      <c r="BB3" s="1607"/>
    </row>
    <row r="4" spans="2:54" ht="42.75" thickBot="1">
      <c r="B4" s="1612"/>
      <c r="C4" s="1614"/>
      <c r="D4" s="1616"/>
      <c r="E4" s="1059" t="s">
        <v>649</v>
      </c>
      <c r="F4" s="1060" t="s">
        <v>650</v>
      </c>
      <c r="G4" s="1061" t="s">
        <v>651</v>
      </c>
      <c r="H4" s="1062" t="s">
        <v>652</v>
      </c>
      <c r="I4" s="1063" t="s">
        <v>653</v>
      </c>
      <c r="J4" s="1061" t="s">
        <v>654</v>
      </c>
      <c r="K4" s="1062" t="s">
        <v>652</v>
      </c>
      <c r="L4" s="1063" t="s">
        <v>653</v>
      </c>
      <c r="M4" s="1064" t="s">
        <v>651</v>
      </c>
      <c r="N4" s="1062" t="s">
        <v>652</v>
      </c>
      <c r="O4" s="1063" t="s">
        <v>653</v>
      </c>
      <c r="P4" s="1064" t="s">
        <v>651</v>
      </c>
      <c r="Q4" s="1062" t="s">
        <v>652</v>
      </c>
      <c r="R4" s="1063" t="s">
        <v>653</v>
      </c>
      <c r="S4" s="1064" t="s">
        <v>651</v>
      </c>
      <c r="T4" s="1062" t="s">
        <v>652</v>
      </c>
      <c r="U4" s="1063" t="s">
        <v>653</v>
      </c>
      <c r="V4" s="1064" t="s">
        <v>655</v>
      </c>
      <c r="W4" s="1062" t="s">
        <v>652</v>
      </c>
      <c r="X4" s="1063" t="s">
        <v>653</v>
      </c>
      <c r="Y4" s="1064" t="s">
        <v>656</v>
      </c>
      <c r="Z4" s="1062" t="s">
        <v>652</v>
      </c>
      <c r="AA4" s="1063" t="s">
        <v>653</v>
      </c>
      <c r="AB4" s="1064" t="s">
        <v>651</v>
      </c>
      <c r="AC4" s="1062" t="s">
        <v>652</v>
      </c>
      <c r="AD4" s="1063" t="s">
        <v>653</v>
      </c>
      <c r="AE4" s="1064" t="s">
        <v>651</v>
      </c>
      <c r="AF4" s="1062" t="s">
        <v>652</v>
      </c>
      <c r="AG4" s="1063" t="s">
        <v>653</v>
      </c>
      <c r="AH4" s="1064" t="s">
        <v>651</v>
      </c>
      <c r="AI4" s="1062" t="s">
        <v>652</v>
      </c>
      <c r="AJ4" s="1063" t="s">
        <v>653</v>
      </c>
      <c r="AK4" s="1064"/>
      <c r="AL4" s="1062" t="s">
        <v>652</v>
      </c>
      <c r="AM4" s="1065" t="s">
        <v>653</v>
      </c>
      <c r="AN4" s="1064" t="s">
        <v>651</v>
      </c>
      <c r="AO4" s="1062" t="s">
        <v>652</v>
      </c>
      <c r="AP4" s="1065" t="s">
        <v>653</v>
      </c>
      <c r="AQ4" s="1066" t="s">
        <v>651</v>
      </c>
      <c r="AR4" s="1062" t="s">
        <v>652</v>
      </c>
      <c r="AS4" s="1063" t="s">
        <v>653</v>
      </c>
      <c r="AT4" s="1064" t="s">
        <v>651</v>
      </c>
      <c r="AU4" s="1062" t="s">
        <v>652</v>
      </c>
      <c r="AV4" s="1063" t="s">
        <v>653</v>
      </c>
      <c r="AW4" s="1064" t="s">
        <v>651</v>
      </c>
      <c r="AX4" s="1062" t="s">
        <v>652</v>
      </c>
      <c r="AY4" s="1063" t="s">
        <v>653</v>
      </c>
      <c r="AZ4" s="1064" t="s">
        <v>651</v>
      </c>
      <c r="BA4" s="1062" t="s">
        <v>652</v>
      </c>
      <c r="BB4" s="1063" t="s">
        <v>653</v>
      </c>
    </row>
    <row r="5" spans="2:54" s="246" customFormat="1" ht="15.75" thickBot="1">
      <c r="B5" s="1058">
        <v>1</v>
      </c>
      <c r="C5" s="1012">
        <v>2</v>
      </c>
      <c r="D5" s="1013">
        <v>3</v>
      </c>
      <c r="E5" s="1013">
        <v>4</v>
      </c>
      <c r="F5" s="1013">
        <v>5</v>
      </c>
      <c r="G5" s="1013">
        <v>4</v>
      </c>
      <c r="H5" s="1013">
        <v>5</v>
      </c>
      <c r="I5" s="1013">
        <v>6</v>
      </c>
      <c r="J5" s="1013">
        <v>7</v>
      </c>
      <c r="K5" s="1013">
        <v>8</v>
      </c>
      <c r="L5" s="1013">
        <v>9</v>
      </c>
      <c r="M5" s="1013">
        <v>10</v>
      </c>
      <c r="N5" s="1013">
        <v>11</v>
      </c>
      <c r="O5" s="1013">
        <v>12</v>
      </c>
      <c r="P5" s="1013">
        <v>13</v>
      </c>
      <c r="Q5" s="1013">
        <v>14</v>
      </c>
      <c r="R5" s="1013">
        <v>15</v>
      </c>
      <c r="S5" s="1013">
        <v>16</v>
      </c>
      <c r="T5" s="1013">
        <v>17</v>
      </c>
      <c r="U5" s="1013">
        <v>18</v>
      </c>
      <c r="V5" s="1013">
        <v>19</v>
      </c>
      <c r="W5" s="1013">
        <v>20</v>
      </c>
      <c r="X5" s="1013">
        <v>21</v>
      </c>
      <c r="Y5" s="1013">
        <v>22</v>
      </c>
      <c r="Z5" s="1013">
        <v>23</v>
      </c>
      <c r="AA5" s="1013">
        <v>24</v>
      </c>
      <c r="AB5" s="1013">
        <v>25</v>
      </c>
      <c r="AC5" s="1013">
        <v>26</v>
      </c>
      <c r="AD5" s="1013">
        <v>27</v>
      </c>
      <c r="AE5" s="1013">
        <v>25</v>
      </c>
      <c r="AF5" s="1013">
        <v>26</v>
      </c>
      <c r="AG5" s="1013">
        <v>27</v>
      </c>
      <c r="AH5" s="1013">
        <v>28</v>
      </c>
      <c r="AI5" s="1013">
        <v>29</v>
      </c>
      <c r="AJ5" s="1074">
        <v>30</v>
      </c>
      <c r="AK5" s="1012"/>
      <c r="AL5" s="1013"/>
      <c r="AM5" s="1074"/>
      <c r="AN5" s="1012"/>
      <c r="AO5" s="1013"/>
      <c r="AP5" s="1014"/>
      <c r="AQ5" s="1075">
        <v>31</v>
      </c>
      <c r="AR5" s="1013">
        <v>32</v>
      </c>
      <c r="AS5" s="1013">
        <v>33</v>
      </c>
      <c r="AT5" s="1013">
        <v>34</v>
      </c>
      <c r="AU5" s="1013">
        <v>35</v>
      </c>
      <c r="AV5" s="1013">
        <v>36</v>
      </c>
      <c r="AW5" s="1013">
        <v>37</v>
      </c>
      <c r="AX5" s="1013">
        <v>38</v>
      </c>
      <c r="AY5" s="1013">
        <v>39</v>
      </c>
      <c r="AZ5" s="1013">
        <v>40</v>
      </c>
      <c r="BA5" s="1013">
        <v>41</v>
      </c>
      <c r="BB5" s="1014">
        <v>42</v>
      </c>
    </row>
    <row r="6" spans="2:54" ht="31.5">
      <c r="B6" s="247">
        <v>1</v>
      </c>
      <c r="C6" s="1067" t="s">
        <v>227</v>
      </c>
      <c r="D6" s="248" t="s">
        <v>22</v>
      </c>
      <c r="E6" s="249"/>
      <c r="F6" s="250"/>
      <c r="G6" s="1068">
        <f t="shared" ref="G6:L6" si="0">SUM(G7:G12)</f>
        <v>6768.58</v>
      </c>
      <c r="H6" s="1069">
        <f t="shared" si="0"/>
        <v>3343.6785200000004</v>
      </c>
      <c r="I6" s="1070">
        <f t="shared" si="0"/>
        <v>2554.4620920000002</v>
      </c>
      <c r="J6" s="1068">
        <f>SUM(J7:J12)</f>
        <v>7491.75</v>
      </c>
      <c r="K6" s="1069">
        <f t="shared" si="0"/>
        <v>3700.9245000000001</v>
      </c>
      <c r="L6" s="1070">
        <f t="shared" si="0"/>
        <v>2827.38645</v>
      </c>
      <c r="M6" s="1068">
        <f>SUM(M7:M13)</f>
        <v>7139.59</v>
      </c>
      <c r="N6" s="1068">
        <f>SUM(N7:N14)</f>
        <v>4465.71</v>
      </c>
      <c r="O6" s="1068">
        <f>SUM(O7:O13)</f>
        <v>1182487.6054833999</v>
      </c>
      <c r="P6" s="1068">
        <f>SUM(P7:P13)</f>
        <v>7755.89</v>
      </c>
      <c r="Q6" s="1069">
        <f>SUM(Q7:Q14)</f>
        <v>4648.3920000000007</v>
      </c>
      <c r="R6" s="1070">
        <f>SUM(R7:R14)</f>
        <v>2822.2380000000003</v>
      </c>
      <c r="S6" s="1068">
        <f>SUM(S7:S13)</f>
        <v>7350.9218639999999</v>
      </c>
      <c r="T6" s="1069">
        <f>SUM(T7:T14)</f>
        <v>4505.3450160000002</v>
      </c>
      <c r="U6" s="1070">
        <f>SUM(U7:U14)</f>
        <v>2776.7041473600002</v>
      </c>
      <c r="V6" s="1068">
        <f>SUM(V7:V14)</f>
        <v>7403.469000000001</v>
      </c>
      <c r="W6" s="1069">
        <f>SUM(W7:W14)</f>
        <v>3553.6651200000001</v>
      </c>
      <c r="X6" s="1070">
        <f>V6*W58</f>
        <v>2517.1794600000003</v>
      </c>
      <c r="Y6" s="1068">
        <f t="shared" ref="Y6:BB6" si="1">SUM(Y7:Y14)</f>
        <v>8384.2581729535195</v>
      </c>
      <c r="Z6" s="1068">
        <f t="shared" si="1"/>
        <v>4720.3373513728302</v>
      </c>
      <c r="AA6" s="1068">
        <f t="shared" si="1"/>
        <v>2850.6477788041966</v>
      </c>
      <c r="AB6" s="1068">
        <f t="shared" si="1"/>
        <v>6707.5682680868003</v>
      </c>
      <c r="AC6" s="1068">
        <f t="shared" si="1"/>
        <v>3219.6327686816635</v>
      </c>
      <c r="AD6" s="1068">
        <f t="shared" si="1"/>
        <v>2280.5732111495122</v>
      </c>
      <c r="AE6" s="1068">
        <f>SUM(AE7:AE14)</f>
        <v>9623.2077000000008</v>
      </c>
      <c r="AF6" s="1068">
        <f>SUM(AF7:AF14)</f>
        <v>4532.5308267</v>
      </c>
      <c r="AG6" s="1068">
        <f>SUM(AG7:AG14)</f>
        <v>3377.7459027</v>
      </c>
      <c r="AH6" s="1068">
        <f t="shared" si="1"/>
        <v>10008.136007999999</v>
      </c>
      <c r="AI6" s="1068">
        <f t="shared" si="1"/>
        <v>2108.6999999999998</v>
      </c>
      <c r="AJ6" s="1071">
        <f t="shared" si="1"/>
        <v>1493.52</v>
      </c>
      <c r="AK6" s="1068">
        <f t="shared" si="1"/>
        <v>0</v>
      </c>
      <c r="AL6" s="1069">
        <f t="shared" si="1"/>
        <v>6609.9</v>
      </c>
      <c r="AM6" s="1072">
        <f t="shared" si="1"/>
        <v>5456.3399999999992</v>
      </c>
      <c r="AN6" s="1068">
        <f t="shared" si="1"/>
        <v>0</v>
      </c>
      <c r="AO6" s="1069">
        <f t="shared" si="1"/>
        <v>2171.3300000000004</v>
      </c>
      <c r="AP6" s="1072">
        <f t="shared" si="1"/>
        <v>1529.3700000000001</v>
      </c>
      <c r="AQ6" s="1073">
        <f t="shared" si="1"/>
        <v>1704.4718080000002</v>
      </c>
      <c r="AR6" s="1068">
        <f t="shared" si="1"/>
        <v>6808.2000000000007</v>
      </c>
      <c r="AS6" s="1068">
        <f t="shared" si="1"/>
        <v>5620.0300000000007</v>
      </c>
      <c r="AT6" s="1071">
        <f t="shared" si="1"/>
        <v>0</v>
      </c>
      <c r="AU6" s="1069">
        <f t="shared" si="1"/>
        <v>7146.55</v>
      </c>
      <c r="AV6" s="1076">
        <f t="shared" si="1"/>
        <v>5788.62</v>
      </c>
      <c r="AW6" s="998">
        <f t="shared" si="1"/>
        <v>0</v>
      </c>
      <c r="AX6" s="1018">
        <f t="shared" si="1"/>
        <v>7505.02</v>
      </c>
      <c r="AY6" s="1084">
        <f t="shared" si="1"/>
        <v>5962.29</v>
      </c>
      <c r="AZ6" s="1073">
        <f t="shared" si="1"/>
        <v>0</v>
      </c>
      <c r="BA6" s="1068">
        <f t="shared" si="1"/>
        <v>7885.0999999999995</v>
      </c>
      <c r="BB6" s="1068">
        <f t="shared" si="1"/>
        <v>6141.16</v>
      </c>
    </row>
    <row r="7" spans="2:54" ht="21">
      <c r="B7" s="251" t="s">
        <v>37</v>
      </c>
      <c r="C7" s="39" t="s">
        <v>657</v>
      </c>
      <c r="D7" s="251" t="s">
        <v>22</v>
      </c>
      <c r="E7" s="252"/>
      <c r="F7" s="253"/>
      <c r="G7" s="254">
        <v>1508</v>
      </c>
      <c r="H7" s="255">
        <f t="shared" ref="H7:H12" si="2">G7*$B$57</f>
        <v>744.952</v>
      </c>
      <c r="I7" s="256">
        <f t="shared" ref="I7:I12" si="3">G7*$B$58</f>
        <v>569.11919999999998</v>
      </c>
      <c r="J7" s="254">
        <v>623.34</v>
      </c>
      <c r="K7" s="255">
        <f t="shared" ref="K7:K12" si="4">J7*$B$57</f>
        <v>307.92995999999999</v>
      </c>
      <c r="L7" s="256">
        <f t="shared" ref="L7:L12" si="5">J7*$B$58</f>
        <v>235.24851600000002</v>
      </c>
      <c r="M7" s="254">
        <v>1840.61</v>
      </c>
      <c r="N7" s="255">
        <v>1036.27</v>
      </c>
      <c r="O7" s="256">
        <v>625.80999999999995</v>
      </c>
      <c r="P7" s="254">
        <v>2033.4</v>
      </c>
      <c r="Q7" s="255">
        <f>P7*$Q$57</f>
        <v>1138.7040000000002</v>
      </c>
      <c r="R7" s="256">
        <f>P7*$Q$58</f>
        <v>691.35600000000011</v>
      </c>
      <c r="S7" s="254">
        <f>M7*$S$2</f>
        <v>1895.092056</v>
      </c>
      <c r="T7" s="255">
        <f>N7*$S$2</f>
        <v>1066.9435920000001</v>
      </c>
      <c r="U7" s="256">
        <f>S7*$T$58</f>
        <v>644.33129903999998</v>
      </c>
      <c r="V7" s="254">
        <f>164.26+245.29+1301+16.5</f>
        <v>1727.05</v>
      </c>
      <c r="W7" s="255">
        <f>V7*$W$57</f>
        <v>828.98399999999992</v>
      </c>
      <c r="X7" s="256">
        <f>V7*$W$58</f>
        <v>587.197</v>
      </c>
      <c r="Y7" s="254">
        <f>S7*$Z$2</f>
        <v>1945.5583574512798</v>
      </c>
      <c r="Z7" s="255">
        <f>Y7*$Z$57</f>
        <v>1095.3493552450705</v>
      </c>
      <c r="AA7" s="256">
        <f>Y7*$Z$58</f>
        <v>661.4898415334352</v>
      </c>
      <c r="AB7" s="254">
        <f>(18.9+13.2+131.7)*12</f>
        <v>1965.6</v>
      </c>
      <c r="AC7" s="255">
        <f>AB7*$AC$57</f>
        <v>943.48799999999994</v>
      </c>
      <c r="AD7" s="256">
        <f>AB7*$AC$58</f>
        <v>668.30399999999997</v>
      </c>
      <c r="AE7" s="254">
        <f>164.265+245.292+1301.04+25.03+10.439+19.964+39.281+64.66+523.039+173.135+268.66+27.67+1584+21.6</f>
        <v>4468.0750000000007</v>
      </c>
      <c r="AF7" s="255">
        <f>AE7*$AF$57</f>
        <v>2104.4633250000002</v>
      </c>
      <c r="AG7" s="256">
        <f>AE7*$AF$58</f>
        <v>1568.2943250000001</v>
      </c>
      <c r="AH7" s="254">
        <f>AE7*1.04</f>
        <v>4646.7980000000007</v>
      </c>
      <c r="AI7" s="255">
        <f>890.525+0.2</f>
        <v>890.72500000000002</v>
      </c>
      <c r="AJ7" s="1000">
        <v>630.79</v>
      </c>
      <c r="AK7" s="1015"/>
      <c r="AL7" s="255">
        <v>1068.22</v>
      </c>
      <c r="AM7" s="1000">
        <v>703.32</v>
      </c>
      <c r="AN7" s="1015"/>
      <c r="AO7" s="255">
        <v>917.07</v>
      </c>
      <c r="AP7" s="256">
        <v>645.74</v>
      </c>
      <c r="AQ7" s="772"/>
      <c r="AR7" s="255">
        <v>1100.26</v>
      </c>
      <c r="AS7" s="256">
        <v>724.42</v>
      </c>
      <c r="AT7" s="1026"/>
      <c r="AU7" s="255">
        <v>1210.29</v>
      </c>
      <c r="AV7" s="1077">
        <v>746.15</v>
      </c>
      <c r="AW7" s="254">
        <f>AT7*$AW$2</f>
        <v>0</v>
      </c>
      <c r="AX7" s="255">
        <v>1331.32</v>
      </c>
      <c r="AY7" s="256">
        <v>768.54</v>
      </c>
      <c r="AZ7" s="772">
        <f>AW7*$AZ$2</f>
        <v>0</v>
      </c>
      <c r="BA7" s="255">
        <v>1464.45</v>
      </c>
      <c r="BB7" s="256">
        <v>791.59</v>
      </c>
    </row>
    <row r="8" spans="2:54" ht="21">
      <c r="B8" s="251" t="s">
        <v>143</v>
      </c>
      <c r="C8" s="39" t="s">
        <v>658</v>
      </c>
      <c r="D8" s="251" t="s">
        <v>22</v>
      </c>
      <c r="E8" s="252"/>
      <c r="F8" s="253"/>
      <c r="G8" s="254">
        <v>1780</v>
      </c>
      <c r="H8" s="255">
        <f t="shared" si="2"/>
        <v>879.31999999999994</v>
      </c>
      <c r="I8" s="256">
        <f t="shared" si="3"/>
        <v>671.77200000000005</v>
      </c>
      <c r="J8" s="254">
        <v>2951.66</v>
      </c>
      <c r="K8" s="255">
        <f t="shared" si="4"/>
        <v>1458.12004</v>
      </c>
      <c r="L8" s="256">
        <f t="shared" si="5"/>
        <v>1113.956484</v>
      </c>
      <c r="M8" s="254">
        <v>449.5</v>
      </c>
      <c r="N8" s="255">
        <v>253.07</v>
      </c>
      <c r="O8" s="256">
        <f>O9+O17+O22</f>
        <v>590363.75774170004</v>
      </c>
      <c r="P8" s="254">
        <v>28.03</v>
      </c>
      <c r="Q8" s="255">
        <f t="shared" ref="Q8:Q14" si="6">P8*$Q$57</f>
        <v>15.696800000000001</v>
      </c>
      <c r="R8" s="256">
        <f t="shared" ref="R8:R14" si="7">P8*$Q$58</f>
        <v>9.5302000000000007</v>
      </c>
      <c r="S8" s="254">
        <f t="shared" ref="S8:S14" si="8">M8*$S$2</f>
        <v>462.80520000000001</v>
      </c>
      <c r="T8" s="255">
        <f>N8*$S$2</f>
        <v>260.56087200000002</v>
      </c>
      <c r="U8" s="256">
        <f t="shared" ref="U8:U14" si="9">S8*$T$58</f>
        <v>157.353768</v>
      </c>
      <c r="V8" s="254">
        <v>13.7</v>
      </c>
      <c r="W8" s="255">
        <f t="shared" ref="W8:W13" si="10">V8*$W$57</f>
        <v>6.5759999999999996</v>
      </c>
      <c r="X8" s="256">
        <f t="shared" ref="X8:X14" si="11">V8*$W$58</f>
        <v>4.6580000000000004</v>
      </c>
      <c r="Y8" s="254">
        <f t="shared" ref="Y8:Y14" si="12">S8*$Z$2</f>
        <v>475.12970247599998</v>
      </c>
      <c r="Z8" s="255">
        <f t="shared" ref="Z8:Z14" si="13">Y8*$Z$57</f>
        <v>267.49802249398795</v>
      </c>
      <c r="AA8" s="256">
        <f t="shared" ref="AA8:AA14" si="14">Y8*$Z$58</f>
        <v>161.54409884184</v>
      </c>
      <c r="AB8" s="254">
        <f>Y8</f>
        <v>475.12970247599998</v>
      </c>
      <c r="AC8" s="255">
        <f t="shared" ref="AC8:AC14" si="15">AB8*$AC$57</f>
        <v>228.06225718847998</v>
      </c>
      <c r="AD8" s="256">
        <f t="shared" ref="AD8:AD13" si="16">AB8*$AC$58</f>
        <v>161.54409884184</v>
      </c>
      <c r="AE8" s="254">
        <v>39.048000000000002</v>
      </c>
      <c r="AF8" s="255">
        <f t="shared" ref="AF8:AF14" si="17">AE8*$AF$57</f>
        <v>18.391608000000002</v>
      </c>
      <c r="AG8" s="256">
        <f t="shared" ref="AG8:AG14" si="18">AE8*$AF$58</f>
        <v>13.705848</v>
      </c>
      <c r="AH8" s="254">
        <f t="shared" ref="AH8:AH14" si="19">AE8*1.04</f>
        <v>40.609920000000002</v>
      </c>
      <c r="AI8" s="255">
        <v>0</v>
      </c>
      <c r="AJ8" s="1000">
        <v>0</v>
      </c>
      <c r="AK8" s="1015"/>
      <c r="AL8" s="255">
        <v>19.239999999999998</v>
      </c>
      <c r="AM8" s="1000">
        <v>15.4</v>
      </c>
      <c r="AN8" s="1015"/>
      <c r="AO8" s="255">
        <v>0</v>
      </c>
      <c r="AP8" s="256">
        <v>0</v>
      </c>
      <c r="AQ8" s="772"/>
      <c r="AR8" s="255">
        <v>19.82</v>
      </c>
      <c r="AS8" s="256">
        <v>15.86</v>
      </c>
      <c r="AT8" s="254"/>
      <c r="AU8" s="255">
        <v>20.61</v>
      </c>
      <c r="AV8" s="1000">
        <v>16.34</v>
      </c>
      <c r="AW8" s="254">
        <f t="shared" ref="AW8:AW14" si="20">AT8*$AW$2</f>
        <v>0</v>
      </c>
      <c r="AX8" s="255">
        <v>21.43</v>
      </c>
      <c r="AY8" s="256">
        <v>16.829999999999998</v>
      </c>
      <c r="AZ8" s="772">
        <f t="shared" ref="AZ8:AZ14" si="21">AW8*$AZ$2</f>
        <v>0</v>
      </c>
      <c r="BA8" s="255">
        <v>22.29</v>
      </c>
      <c r="BB8" s="256">
        <v>17.34</v>
      </c>
    </row>
    <row r="9" spans="2:54">
      <c r="B9" s="251" t="s">
        <v>144</v>
      </c>
      <c r="C9" s="39" t="s">
        <v>659</v>
      </c>
      <c r="D9" s="251" t="s">
        <v>22</v>
      </c>
      <c r="E9" s="252"/>
      <c r="F9" s="253"/>
      <c r="G9" s="254">
        <v>1200</v>
      </c>
      <c r="H9" s="255">
        <f t="shared" si="2"/>
        <v>592.79999999999995</v>
      </c>
      <c r="I9" s="256">
        <f t="shared" si="3"/>
        <v>452.88</v>
      </c>
      <c r="J9" s="254">
        <v>1250</v>
      </c>
      <c r="K9" s="255">
        <f t="shared" si="4"/>
        <v>617.5</v>
      </c>
      <c r="L9" s="256">
        <f t="shared" si="5"/>
        <v>471.75</v>
      </c>
      <c r="M9" s="254">
        <v>1513.35</v>
      </c>
      <c r="N9" s="255">
        <v>852.02</v>
      </c>
      <c r="O9" s="256">
        <f>'К ВС'!N322</f>
        <v>590363.75774170004</v>
      </c>
      <c r="P9" s="254">
        <v>1350</v>
      </c>
      <c r="Q9" s="255">
        <f t="shared" si="6"/>
        <v>756.00000000000011</v>
      </c>
      <c r="R9" s="256">
        <f t="shared" si="7"/>
        <v>459.00000000000006</v>
      </c>
      <c r="S9" s="254">
        <f t="shared" si="8"/>
        <v>1558.14516</v>
      </c>
      <c r="T9" s="255">
        <f>N9*$S$2</f>
        <v>877.23979200000008</v>
      </c>
      <c r="U9" s="256">
        <f t="shared" si="9"/>
        <v>529.7693544</v>
      </c>
      <c r="V9" s="254">
        <v>1998.05</v>
      </c>
      <c r="W9" s="255">
        <f t="shared" si="10"/>
        <v>959.06399999999996</v>
      </c>
      <c r="X9" s="256">
        <f t="shared" si="11"/>
        <v>679.33699999999999</v>
      </c>
      <c r="Y9" s="254">
        <f t="shared" si="12"/>
        <v>1599.6385656108</v>
      </c>
      <c r="Z9" s="255">
        <f t="shared" si="13"/>
        <v>900.59651243888027</v>
      </c>
      <c r="AA9" s="256">
        <f t="shared" si="14"/>
        <v>543.87711230767206</v>
      </c>
      <c r="AB9" s="254">
        <f>Y9</f>
        <v>1599.6385656108</v>
      </c>
      <c r="AC9" s="255">
        <f t="shared" si="15"/>
        <v>767.82651149318394</v>
      </c>
      <c r="AD9" s="256">
        <f t="shared" si="16"/>
        <v>543.87711230767206</v>
      </c>
      <c r="AE9" s="254"/>
      <c r="AF9" s="255">
        <f t="shared" si="17"/>
        <v>0</v>
      </c>
      <c r="AG9" s="256">
        <f t="shared" si="18"/>
        <v>0</v>
      </c>
      <c r="AH9" s="254">
        <f t="shared" si="19"/>
        <v>0</v>
      </c>
      <c r="AI9" s="255">
        <f>AH9*$AI$57</f>
        <v>0</v>
      </c>
      <c r="AJ9" s="1000">
        <v>0</v>
      </c>
      <c r="AK9" s="1015"/>
      <c r="AL9" s="255">
        <v>534.44000000000005</v>
      </c>
      <c r="AM9" s="1000"/>
      <c r="AN9" s="1015"/>
      <c r="AO9" s="255">
        <v>0</v>
      </c>
      <c r="AP9" s="256">
        <v>0</v>
      </c>
      <c r="AQ9" s="772"/>
      <c r="AR9" s="255">
        <f>AQ9*$AR$57</f>
        <v>0</v>
      </c>
      <c r="AS9" s="256">
        <f>AQ9*$AR$58</f>
        <v>0</v>
      </c>
      <c r="AT9" s="254"/>
      <c r="AU9" s="255">
        <v>0</v>
      </c>
      <c r="AV9" s="1000">
        <f>AT9*$AU$58</f>
        <v>0</v>
      </c>
      <c r="AW9" s="254">
        <f t="shared" si="20"/>
        <v>0</v>
      </c>
      <c r="AX9" s="255">
        <f>AW9*$AX$57</f>
        <v>0</v>
      </c>
      <c r="AY9" s="256">
        <f>AW9*$AX$58</f>
        <v>0</v>
      </c>
      <c r="AZ9" s="772">
        <f t="shared" si="21"/>
        <v>0</v>
      </c>
      <c r="BA9" s="255">
        <f>AZ9*$BA$57</f>
        <v>0</v>
      </c>
      <c r="BB9" s="256">
        <f>AZ9*$BA$58</f>
        <v>0</v>
      </c>
    </row>
    <row r="10" spans="2:54">
      <c r="B10" s="251" t="s">
        <v>172</v>
      </c>
      <c r="C10" s="39" t="s">
        <v>660</v>
      </c>
      <c r="D10" s="251" t="s">
        <v>22</v>
      </c>
      <c r="E10" s="252"/>
      <c r="F10" s="253"/>
      <c r="G10" s="254"/>
      <c r="H10" s="255">
        <f t="shared" si="2"/>
        <v>0</v>
      </c>
      <c r="I10" s="256">
        <f t="shared" si="3"/>
        <v>0</v>
      </c>
      <c r="J10" s="254"/>
      <c r="K10" s="255">
        <f t="shared" si="4"/>
        <v>0</v>
      </c>
      <c r="L10" s="256">
        <f t="shared" si="5"/>
        <v>0</v>
      </c>
      <c r="M10" s="254">
        <v>550.44000000000005</v>
      </c>
      <c r="N10" s="255">
        <v>309.89999999999998</v>
      </c>
      <c r="O10" s="256">
        <v>187.15</v>
      </c>
      <c r="P10" s="254">
        <v>892.17</v>
      </c>
      <c r="Q10" s="255">
        <f t="shared" si="6"/>
        <v>499.61520000000002</v>
      </c>
      <c r="R10" s="256">
        <f t="shared" si="7"/>
        <v>303.33780000000002</v>
      </c>
      <c r="S10" s="254">
        <f t="shared" si="8"/>
        <v>566.73302400000011</v>
      </c>
      <c r="T10" s="255">
        <f>N10*$S$2</f>
        <v>319.07303999999999</v>
      </c>
      <c r="U10" s="256">
        <f t="shared" si="9"/>
        <v>192.68922816000006</v>
      </c>
      <c r="V10" s="254">
        <v>358.33</v>
      </c>
      <c r="W10" s="255">
        <f t="shared" si="10"/>
        <v>171.99839999999998</v>
      </c>
      <c r="X10" s="256">
        <f t="shared" si="11"/>
        <v>121.8322</v>
      </c>
      <c r="Y10" s="254">
        <f t="shared" si="12"/>
        <v>581.82512442912002</v>
      </c>
      <c r="Z10" s="255">
        <f t="shared" si="13"/>
        <v>327.56754505359453</v>
      </c>
      <c r="AA10" s="256">
        <f t="shared" si="14"/>
        <v>197.82054230590083</v>
      </c>
      <c r="AB10" s="254">
        <f>29.69*12+18.5*12+1.6*12</f>
        <v>597.48</v>
      </c>
      <c r="AC10" s="255">
        <f t="shared" si="15"/>
        <v>286.79039999999998</v>
      </c>
      <c r="AD10" s="256">
        <f t="shared" si="16"/>
        <v>203.14320000000001</v>
      </c>
      <c r="AE10" s="254">
        <f>363.212+17.905+24.725+3.068+3.989+0.7847</f>
        <v>413.68369999999993</v>
      </c>
      <c r="AF10" s="255">
        <f t="shared" si="17"/>
        <v>194.84502269999996</v>
      </c>
      <c r="AG10" s="256">
        <f t="shared" si="18"/>
        <v>145.20297869999996</v>
      </c>
      <c r="AH10" s="254">
        <f t="shared" si="19"/>
        <v>430.23104799999993</v>
      </c>
      <c r="AI10" s="255">
        <v>184.77</v>
      </c>
      <c r="AJ10" s="1000">
        <v>130.88</v>
      </c>
      <c r="AK10" s="1015"/>
      <c r="AL10" s="255">
        <v>0</v>
      </c>
      <c r="AM10" s="1000">
        <v>442.08</v>
      </c>
      <c r="AN10" s="1015"/>
      <c r="AO10" s="255">
        <v>190.27</v>
      </c>
      <c r="AP10" s="256">
        <v>133.97999999999999</v>
      </c>
      <c r="AQ10" s="772"/>
      <c r="AR10" s="255">
        <v>550.47</v>
      </c>
      <c r="AS10" s="256">
        <v>455.34</v>
      </c>
      <c r="AT10" s="254"/>
      <c r="AU10" s="255">
        <v>572.49</v>
      </c>
      <c r="AV10" s="1000">
        <v>469</v>
      </c>
      <c r="AW10" s="254">
        <f t="shared" si="20"/>
        <v>0</v>
      </c>
      <c r="AX10" s="255">
        <v>595.39</v>
      </c>
      <c r="AY10" s="256">
        <v>483.07</v>
      </c>
      <c r="AZ10" s="772">
        <f t="shared" si="21"/>
        <v>0</v>
      </c>
      <c r="BA10" s="255">
        <v>619.20000000000005</v>
      </c>
      <c r="BB10" s="256">
        <v>497.56</v>
      </c>
    </row>
    <row r="11" spans="2:54" ht="21">
      <c r="B11" s="251" t="s">
        <v>174</v>
      </c>
      <c r="C11" s="39" t="s">
        <v>661</v>
      </c>
      <c r="D11" s="251" t="s">
        <v>22</v>
      </c>
      <c r="E11" s="252"/>
      <c r="F11" s="253"/>
      <c r="G11" s="254">
        <v>735</v>
      </c>
      <c r="H11" s="255">
        <f t="shared" si="2"/>
        <v>363.09</v>
      </c>
      <c r="I11" s="256">
        <f t="shared" si="3"/>
        <v>277.38900000000001</v>
      </c>
      <c r="J11" s="254">
        <v>479.35</v>
      </c>
      <c r="K11" s="255">
        <f t="shared" si="4"/>
        <v>236.7989</v>
      </c>
      <c r="L11" s="256">
        <f t="shared" si="5"/>
        <v>180.90669000000003</v>
      </c>
      <c r="M11" s="254"/>
      <c r="N11" s="255"/>
      <c r="O11" s="256"/>
      <c r="P11" s="254">
        <v>0</v>
      </c>
      <c r="Q11" s="255">
        <f t="shared" si="6"/>
        <v>0</v>
      </c>
      <c r="R11" s="256">
        <f t="shared" si="7"/>
        <v>0</v>
      </c>
      <c r="S11" s="254">
        <f t="shared" si="8"/>
        <v>0</v>
      </c>
      <c r="T11" s="255">
        <f>N11*$S$2</f>
        <v>0</v>
      </c>
      <c r="U11" s="256">
        <f t="shared" si="9"/>
        <v>0</v>
      </c>
      <c r="V11" s="254"/>
      <c r="W11" s="255">
        <f t="shared" si="10"/>
        <v>0</v>
      </c>
      <c r="X11" s="256">
        <f t="shared" si="11"/>
        <v>0</v>
      </c>
      <c r="Y11" s="254">
        <f t="shared" si="12"/>
        <v>0</v>
      </c>
      <c r="Z11" s="255">
        <f t="shared" si="13"/>
        <v>0</v>
      </c>
      <c r="AA11" s="256">
        <f t="shared" si="14"/>
        <v>0</v>
      </c>
      <c r="AB11" s="254"/>
      <c r="AC11" s="255">
        <f t="shared" si="15"/>
        <v>0</v>
      </c>
      <c r="AD11" s="256">
        <f t="shared" si="16"/>
        <v>0</v>
      </c>
      <c r="AE11" s="254">
        <v>0</v>
      </c>
      <c r="AF11" s="255">
        <f t="shared" si="17"/>
        <v>0</v>
      </c>
      <c r="AG11" s="256">
        <f t="shared" si="18"/>
        <v>0</v>
      </c>
      <c r="AH11" s="254">
        <f t="shared" si="19"/>
        <v>0</v>
      </c>
      <c r="AI11" s="255">
        <f>AH11*$AI$57</f>
        <v>0</v>
      </c>
      <c r="AJ11" s="1000">
        <f>AH11*$AI$58</f>
        <v>0</v>
      </c>
      <c r="AK11" s="1015"/>
      <c r="AL11" s="255">
        <v>0</v>
      </c>
      <c r="AM11" s="1000"/>
      <c r="AN11" s="1015"/>
      <c r="AO11" s="255">
        <v>0</v>
      </c>
      <c r="AP11" s="256">
        <v>0</v>
      </c>
      <c r="AQ11" s="772"/>
      <c r="AR11" s="255">
        <f>AQ11*$AR$57</f>
        <v>0</v>
      </c>
      <c r="AS11" s="256">
        <f>AQ11*$AR$58</f>
        <v>0</v>
      </c>
      <c r="AT11" s="254"/>
      <c r="AU11" s="255">
        <f>AT11*$AU$57</f>
        <v>0</v>
      </c>
      <c r="AV11" s="1000">
        <f>AT11*$AU$58</f>
        <v>0</v>
      </c>
      <c r="AW11" s="254">
        <f t="shared" si="20"/>
        <v>0</v>
      </c>
      <c r="AX11" s="255">
        <f>AW11*$AX$57</f>
        <v>0</v>
      </c>
      <c r="AY11" s="256">
        <f>AW11*$AX$58</f>
        <v>0</v>
      </c>
      <c r="AZ11" s="772">
        <f t="shared" si="21"/>
        <v>0</v>
      </c>
      <c r="BA11" s="255">
        <f>AZ11*$BA$57</f>
        <v>0</v>
      </c>
      <c r="BB11" s="256">
        <f>AZ11*$BA$58</f>
        <v>0</v>
      </c>
    </row>
    <row r="12" spans="2:54" ht="31.5">
      <c r="B12" s="251" t="s">
        <v>176</v>
      </c>
      <c r="C12" s="39" t="s">
        <v>662</v>
      </c>
      <c r="D12" s="251" t="s">
        <v>22</v>
      </c>
      <c r="E12" s="252"/>
      <c r="F12" s="253"/>
      <c r="G12" s="254">
        <v>1545.58</v>
      </c>
      <c r="H12" s="255">
        <f t="shared" si="2"/>
        <v>763.5165199999999</v>
      </c>
      <c r="I12" s="256">
        <f t="shared" si="3"/>
        <v>583.30189199999995</v>
      </c>
      <c r="J12" s="254">
        <v>2187.4</v>
      </c>
      <c r="K12" s="255">
        <f t="shared" si="4"/>
        <v>1080.5756000000001</v>
      </c>
      <c r="L12" s="256">
        <f t="shared" si="5"/>
        <v>825.52476000000001</v>
      </c>
      <c r="M12" s="254">
        <v>1485.69</v>
      </c>
      <c r="N12" s="255">
        <v>836.44</v>
      </c>
      <c r="O12" s="256">
        <v>505.13</v>
      </c>
      <c r="P12" s="254">
        <v>1952.7</v>
      </c>
      <c r="Q12" s="255">
        <f t="shared" si="6"/>
        <v>1093.5120000000002</v>
      </c>
      <c r="R12" s="256">
        <f t="shared" si="7"/>
        <v>663.91800000000001</v>
      </c>
      <c r="S12" s="254">
        <f t="shared" si="8"/>
        <v>1529.6664240000002</v>
      </c>
      <c r="T12" s="255">
        <f>N12*$S$2</f>
        <v>861.19862400000011</v>
      </c>
      <c r="U12" s="256">
        <f t="shared" si="9"/>
        <v>520.08658416000014</v>
      </c>
      <c r="V12" s="254">
        <f>1821.9+662.9+52.039</f>
        <v>2536.8390000000004</v>
      </c>
      <c r="W12" s="255">
        <f t="shared" si="10"/>
        <v>1217.6827200000002</v>
      </c>
      <c r="X12" s="256">
        <f t="shared" si="11"/>
        <v>862.52526000000023</v>
      </c>
      <c r="Y12" s="254">
        <f t="shared" si="12"/>
        <v>1570.40144087112</v>
      </c>
      <c r="Z12" s="255">
        <f t="shared" si="13"/>
        <v>884.13601121044053</v>
      </c>
      <c r="AA12" s="256">
        <f t="shared" si="14"/>
        <v>533.93648989618089</v>
      </c>
      <c r="AB12" s="254">
        <f>88.3*12+77.4+2*12+0.34*12</f>
        <v>1165.08</v>
      </c>
      <c r="AC12" s="255">
        <f t="shared" si="15"/>
        <v>559.23839999999996</v>
      </c>
      <c r="AD12" s="256">
        <f t="shared" si="16"/>
        <v>396.12720000000002</v>
      </c>
      <c r="AE12" s="254">
        <f>965.52+446.79+376.269+438.36+524.07+375.512</f>
        <v>3126.5210000000002</v>
      </c>
      <c r="AF12" s="255">
        <f t="shared" si="17"/>
        <v>1472.5913909999999</v>
      </c>
      <c r="AG12" s="256">
        <f t="shared" si="18"/>
        <v>1097.4088710000001</v>
      </c>
      <c r="AH12" s="254">
        <f t="shared" si="19"/>
        <v>3251.5818400000003</v>
      </c>
      <c r="AI12" s="255">
        <v>581.61</v>
      </c>
      <c r="AJ12" s="1000">
        <v>411.97</v>
      </c>
      <c r="AK12" s="1015"/>
      <c r="AL12" s="255">
        <v>4239.8999999999996</v>
      </c>
      <c r="AM12" s="1000">
        <v>3723.35</v>
      </c>
      <c r="AN12" s="1015"/>
      <c r="AO12" s="255">
        <v>598.94000000000005</v>
      </c>
      <c r="AP12" s="256">
        <v>421.74</v>
      </c>
      <c r="AQ12" s="772"/>
      <c r="AR12" s="255">
        <v>4367.09</v>
      </c>
      <c r="AS12" s="256">
        <v>3835.05</v>
      </c>
      <c r="AT12" s="254"/>
      <c r="AU12" s="255">
        <v>4541.78</v>
      </c>
      <c r="AV12" s="1000">
        <v>3950.1</v>
      </c>
      <c r="AW12" s="254">
        <f t="shared" si="20"/>
        <v>0</v>
      </c>
      <c r="AX12" s="255">
        <v>4723.45</v>
      </c>
      <c r="AY12" s="256">
        <v>4068.6</v>
      </c>
      <c r="AZ12" s="772">
        <f t="shared" si="21"/>
        <v>0</v>
      </c>
      <c r="BA12" s="255">
        <v>4912.3900000000003</v>
      </c>
      <c r="BB12" s="256">
        <v>4190.66</v>
      </c>
    </row>
    <row r="13" spans="2:54">
      <c r="B13" s="251" t="s">
        <v>186</v>
      </c>
      <c r="C13" s="39" t="s">
        <v>530</v>
      </c>
      <c r="D13" s="251"/>
      <c r="E13" s="252"/>
      <c r="F13" s="253"/>
      <c r="G13" s="254"/>
      <c r="H13" s="255"/>
      <c r="I13" s="256"/>
      <c r="J13" s="254"/>
      <c r="K13" s="255"/>
      <c r="L13" s="256"/>
      <c r="M13" s="254">
        <v>1300</v>
      </c>
      <c r="N13" s="255">
        <v>731.9</v>
      </c>
      <c r="O13" s="256">
        <v>442</v>
      </c>
      <c r="P13" s="254">
        <v>1499.59</v>
      </c>
      <c r="Q13" s="255">
        <f t="shared" si="6"/>
        <v>839.7704</v>
      </c>
      <c r="R13" s="256">
        <f t="shared" si="7"/>
        <v>509.86060000000003</v>
      </c>
      <c r="S13" s="254">
        <f t="shared" si="8"/>
        <v>1338.48</v>
      </c>
      <c r="T13" s="255">
        <f>N13*$S$2-92.55</f>
        <v>661.01424000000009</v>
      </c>
      <c r="U13" s="256">
        <f t="shared" si="9"/>
        <v>455.08320000000003</v>
      </c>
      <c r="V13" s="254"/>
      <c r="W13" s="255">
        <f t="shared" si="10"/>
        <v>0</v>
      </c>
      <c r="X13" s="256">
        <f t="shared" si="11"/>
        <v>0</v>
      </c>
      <c r="Y13" s="254">
        <f t="shared" si="12"/>
        <v>1374.1237223999999</v>
      </c>
      <c r="Z13" s="255">
        <f t="shared" si="13"/>
        <v>773.63165571119987</v>
      </c>
      <c r="AA13" s="256">
        <f t="shared" si="14"/>
        <v>467.20206561600003</v>
      </c>
      <c r="AB13" s="254">
        <f>10.82*12</f>
        <v>129.84</v>
      </c>
      <c r="AC13" s="255">
        <f t="shared" si="15"/>
        <v>62.3232</v>
      </c>
      <c r="AD13" s="256">
        <f t="shared" si="16"/>
        <v>44.145600000000002</v>
      </c>
      <c r="AE13" s="254">
        <f>130.93+181.32+21.79+5.39</f>
        <v>339.43</v>
      </c>
      <c r="AF13" s="255">
        <f t="shared" si="17"/>
        <v>159.87153000000001</v>
      </c>
      <c r="AG13" s="256">
        <f t="shared" si="18"/>
        <v>119.13992999999999</v>
      </c>
      <c r="AH13" s="254">
        <f t="shared" si="19"/>
        <v>353.00720000000001</v>
      </c>
      <c r="AI13" s="255">
        <v>64.819999999999993</v>
      </c>
      <c r="AJ13" s="1000">
        <v>45.91</v>
      </c>
      <c r="AK13" s="1015"/>
      <c r="AL13" s="255">
        <v>206.17</v>
      </c>
      <c r="AM13" s="1000">
        <v>160.12</v>
      </c>
      <c r="AN13" s="1015"/>
      <c r="AO13" s="255">
        <v>66.75</v>
      </c>
      <c r="AP13" s="256">
        <v>47</v>
      </c>
      <c r="AQ13" s="772">
        <f>AH13*$AQ$2</f>
        <v>367.12748800000003</v>
      </c>
      <c r="AR13" s="255">
        <v>212.35</v>
      </c>
      <c r="AS13" s="256">
        <v>164.93</v>
      </c>
      <c r="AT13" s="254"/>
      <c r="AU13" s="255">
        <v>220.85</v>
      </c>
      <c r="AV13" s="1000">
        <v>169.87</v>
      </c>
      <c r="AW13" s="254">
        <f t="shared" si="20"/>
        <v>0</v>
      </c>
      <c r="AX13" s="255">
        <v>229.68</v>
      </c>
      <c r="AY13" s="256">
        <v>174.97</v>
      </c>
      <c r="AZ13" s="772">
        <f t="shared" si="21"/>
        <v>0</v>
      </c>
      <c r="BA13" s="255">
        <v>238.87</v>
      </c>
      <c r="BB13" s="256">
        <v>180.22</v>
      </c>
    </row>
    <row r="14" spans="2:54">
      <c r="B14" s="251" t="s">
        <v>663</v>
      </c>
      <c r="C14" s="39" t="s">
        <v>243</v>
      </c>
      <c r="D14" s="251"/>
      <c r="E14" s="252"/>
      <c r="F14" s="253"/>
      <c r="G14" s="254"/>
      <c r="H14" s="255"/>
      <c r="I14" s="256"/>
      <c r="J14" s="254"/>
      <c r="K14" s="255"/>
      <c r="L14" s="256"/>
      <c r="M14" s="254">
        <v>792.4</v>
      </c>
      <c r="N14" s="255">
        <v>446.11</v>
      </c>
      <c r="O14" s="256">
        <v>269.42</v>
      </c>
      <c r="P14" s="254">
        <v>544.80999999999995</v>
      </c>
      <c r="Q14" s="255">
        <f t="shared" si="6"/>
        <v>305.09359999999998</v>
      </c>
      <c r="R14" s="256">
        <f t="shared" si="7"/>
        <v>185.2354</v>
      </c>
      <c r="S14" s="254">
        <f t="shared" si="8"/>
        <v>815.85504000000003</v>
      </c>
      <c r="T14" s="255">
        <f>N14*$S$2</f>
        <v>459.31485600000002</v>
      </c>
      <c r="U14" s="256">
        <f t="shared" si="9"/>
        <v>277.39071360000003</v>
      </c>
      <c r="V14" s="254">
        <v>769.5</v>
      </c>
      <c r="W14" s="255">
        <v>369.36</v>
      </c>
      <c r="X14" s="256">
        <f t="shared" si="11"/>
        <v>261.63</v>
      </c>
      <c r="Y14" s="254">
        <f t="shared" si="12"/>
        <v>837.58125971519996</v>
      </c>
      <c r="Z14" s="255">
        <f t="shared" si="13"/>
        <v>471.55824921965751</v>
      </c>
      <c r="AA14" s="256">
        <f t="shared" si="14"/>
        <v>284.777628303168</v>
      </c>
      <c r="AB14" s="254">
        <f>61.9*12+32</f>
        <v>774.8</v>
      </c>
      <c r="AC14" s="255">
        <f t="shared" si="15"/>
        <v>371.90399999999994</v>
      </c>
      <c r="AD14" s="256">
        <f>AB14*$AC$58</f>
        <v>263.43200000000002</v>
      </c>
      <c r="AE14" s="254">
        <v>1236.45</v>
      </c>
      <c r="AF14" s="255">
        <f t="shared" si="17"/>
        <v>582.36794999999995</v>
      </c>
      <c r="AG14" s="256">
        <f t="shared" si="18"/>
        <v>433.99394999999998</v>
      </c>
      <c r="AH14" s="254">
        <f t="shared" si="19"/>
        <v>1285.9080000000001</v>
      </c>
      <c r="AI14" s="255">
        <v>386.77499999999998</v>
      </c>
      <c r="AJ14" s="1000">
        <v>273.97000000000003</v>
      </c>
      <c r="AK14" s="1015"/>
      <c r="AL14" s="255">
        <v>541.92999999999995</v>
      </c>
      <c r="AM14" s="1000">
        <v>412.07</v>
      </c>
      <c r="AN14" s="1015"/>
      <c r="AO14" s="255">
        <f>398.51-0.21</f>
        <v>398.3</v>
      </c>
      <c r="AP14" s="256">
        <v>280.91000000000003</v>
      </c>
      <c r="AQ14" s="772">
        <f>AH14*$AQ$2</f>
        <v>1337.3443200000002</v>
      </c>
      <c r="AR14" s="255">
        <v>558.21</v>
      </c>
      <c r="AS14" s="256">
        <v>424.43</v>
      </c>
      <c r="AT14" s="254"/>
      <c r="AU14" s="255">
        <v>580.53</v>
      </c>
      <c r="AV14" s="1000">
        <v>437.16</v>
      </c>
      <c r="AW14" s="254">
        <f t="shared" si="20"/>
        <v>0</v>
      </c>
      <c r="AX14" s="255">
        <v>603.75</v>
      </c>
      <c r="AY14" s="256">
        <v>450.28</v>
      </c>
      <c r="AZ14" s="772">
        <f t="shared" si="21"/>
        <v>0</v>
      </c>
      <c r="BA14" s="255">
        <v>627.9</v>
      </c>
      <c r="BB14" s="256">
        <v>463.79</v>
      </c>
    </row>
    <row r="15" spans="2:54" ht="52.5">
      <c r="B15" s="251" t="s">
        <v>196</v>
      </c>
      <c r="C15" s="15" t="s">
        <v>664</v>
      </c>
      <c r="D15" s="251" t="s">
        <v>22</v>
      </c>
      <c r="E15" s="257">
        <f t="shared" ref="E15:BB15" si="22">E16+E35</f>
        <v>0</v>
      </c>
      <c r="F15" s="258">
        <f t="shared" si="22"/>
        <v>0</v>
      </c>
      <c r="G15" s="259">
        <f t="shared" si="22"/>
        <v>53053.487484480007</v>
      </c>
      <c r="H15" s="181">
        <f t="shared" si="22"/>
        <v>26208.422817333121</v>
      </c>
      <c r="I15" s="260">
        <f t="shared" si="22"/>
        <v>20022.386176642754</v>
      </c>
      <c r="J15" s="259">
        <f t="shared" si="22"/>
        <v>50590.733339999999</v>
      </c>
      <c r="K15" s="181">
        <f t="shared" si="22"/>
        <v>28482.582870419996</v>
      </c>
      <c r="L15" s="260">
        <f t="shared" si="22"/>
        <v>17200.8493356</v>
      </c>
      <c r="M15" s="259">
        <f t="shared" si="22"/>
        <v>55387.840368000005</v>
      </c>
      <c r="N15" s="181">
        <f t="shared" si="22"/>
        <v>31183.354127184</v>
      </c>
      <c r="O15" s="260">
        <f t="shared" si="22"/>
        <v>18831.865725120002</v>
      </c>
      <c r="P15" s="259">
        <f>P16+P35</f>
        <v>54311.556389999998</v>
      </c>
      <c r="Q15" s="181">
        <f>Q16+Q35</f>
        <v>30414.471578400004</v>
      </c>
      <c r="R15" s="181">
        <f>R16+R35</f>
        <v>17032.099979999999</v>
      </c>
      <c r="S15" s="259">
        <f t="shared" si="22"/>
        <v>57027.320442892815</v>
      </c>
      <c r="T15" s="181">
        <f>T16+T35</f>
        <v>32106.381409348654</v>
      </c>
      <c r="U15" s="260">
        <f t="shared" si="22"/>
        <v>19389.288950583559</v>
      </c>
      <c r="V15" s="259">
        <f>V16+V35</f>
        <v>64168.926779999994</v>
      </c>
      <c r="W15" s="181">
        <f>W16+W35</f>
        <v>31775.214724848003</v>
      </c>
      <c r="X15" s="260">
        <f>X16+X35</f>
        <v>21686.800025199998</v>
      </c>
      <c r="Y15" s="259">
        <f t="shared" si="22"/>
        <v>58545.957986287038</v>
      </c>
      <c r="Z15" s="181">
        <f t="shared" si="22"/>
        <v>32961.374346279597</v>
      </c>
      <c r="AA15" s="260">
        <f t="shared" si="22"/>
        <v>19905.625715337592</v>
      </c>
      <c r="AB15" s="259">
        <f t="shared" ref="AB15:AG15" si="23">AB16+AB35</f>
        <v>67377.371369112007</v>
      </c>
      <c r="AC15" s="181">
        <f t="shared" si="23"/>
        <v>33014.91197086488</v>
      </c>
      <c r="AD15" s="260">
        <f t="shared" si="23"/>
        <v>22908.306265498082</v>
      </c>
      <c r="AE15" s="259">
        <f>AE16+AE35</f>
        <v>64339.394</v>
      </c>
      <c r="AF15" s="181">
        <f t="shared" si="23"/>
        <v>37229.665000000001</v>
      </c>
      <c r="AG15" s="260">
        <f t="shared" si="23"/>
        <v>27109.728999999999</v>
      </c>
      <c r="AH15" s="259">
        <f t="shared" si="22"/>
        <v>57459.421320000009</v>
      </c>
      <c r="AI15" s="181">
        <f>AI16+AI35</f>
        <v>33634.787339999995</v>
      </c>
      <c r="AJ15" s="1001">
        <f t="shared" si="22"/>
        <v>23824.633980000002</v>
      </c>
      <c r="AK15" s="259">
        <f t="shared" si="22"/>
        <v>0</v>
      </c>
      <c r="AL15" s="181">
        <f>AL16+AL35</f>
        <v>46242.559999999998</v>
      </c>
      <c r="AM15" s="1001">
        <f t="shared" si="22"/>
        <v>34941.69</v>
      </c>
      <c r="AN15" s="259"/>
      <c r="AO15" s="181">
        <f>AO16+AO35</f>
        <v>34637.106</v>
      </c>
      <c r="AP15" s="181">
        <f>AP16+AP35</f>
        <v>24389.279999999999</v>
      </c>
      <c r="AQ15" s="1007">
        <f t="shared" si="22"/>
        <v>0</v>
      </c>
      <c r="AR15" s="181">
        <f>AR16+AR35</f>
        <v>48741.932399999998</v>
      </c>
      <c r="AS15" s="260">
        <f t="shared" si="22"/>
        <v>36851.417399999998</v>
      </c>
      <c r="AT15" s="259">
        <f t="shared" si="22"/>
        <v>89017.089000000007</v>
      </c>
      <c r="AU15" s="181">
        <f t="shared" si="22"/>
        <v>50691.612300000001</v>
      </c>
      <c r="AV15" s="1001">
        <f t="shared" si="22"/>
        <v>38325.476699999999</v>
      </c>
      <c r="AW15" s="259">
        <f t="shared" si="22"/>
        <v>0</v>
      </c>
      <c r="AX15" s="181">
        <f t="shared" si="22"/>
        <v>51705.440640000001</v>
      </c>
      <c r="AY15" s="260">
        <f t="shared" si="22"/>
        <v>39858.503580000004</v>
      </c>
      <c r="AZ15" s="1007">
        <f t="shared" si="22"/>
        <v>94192.395779999992</v>
      </c>
      <c r="BA15" s="181">
        <f t="shared" si="22"/>
        <v>52739.55414</v>
      </c>
      <c r="BB15" s="260">
        <f t="shared" si="22"/>
        <v>41452.841639999999</v>
      </c>
    </row>
    <row r="16" spans="2:54" ht="67.5">
      <c r="B16" s="251" t="s">
        <v>198</v>
      </c>
      <c r="C16" s="164" t="s">
        <v>665</v>
      </c>
      <c r="D16" s="251" t="s">
        <v>22</v>
      </c>
      <c r="E16" s="261">
        <f>E17+E20+E23+E26+E29</f>
        <v>0</v>
      </c>
      <c r="F16" s="262">
        <f>F17+F20+F23+F26+F29</f>
        <v>0</v>
      </c>
      <c r="G16" s="263">
        <f>G17+G20+G23+G26+G29+G32</f>
        <v>40747.686240000003</v>
      </c>
      <c r="H16" s="264">
        <f>G16*B57</f>
        <v>20129.357002560002</v>
      </c>
      <c r="I16" s="265">
        <f>G16*B58</f>
        <v>15378.176786976002</v>
      </c>
      <c r="J16" s="263">
        <v>38856.17</v>
      </c>
      <c r="K16" s="264">
        <f>J16*K57</f>
        <v>21876.023709999998</v>
      </c>
      <c r="L16" s="265">
        <f>J16*L58</f>
        <v>13211.0978</v>
      </c>
      <c r="M16" s="263">
        <f>M17+M20+M23+M26+M29+M32</f>
        <v>42540.584000000003</v>
      </c>
      <c r="N16" s="264">
        <f>M16*N57</f>
        <v>23950.348792000001</v>
      </c>
      <c r="O16" s="265">
        <f>M16*O58</f>
        <v>14463.798560000001</v>
      </c>
      <c r="P16" s="263">
        <f>P17+P20+P23+P26+P29+P32</f>
        <v>41713.945</v>
      </c>
      <c r="Q16" s="264">
        <f>P16*Q57</f>
        <v>23359.809200000003</v>
      </c>
      <c r="R16" s="264">
        <v>13081.49</v>
      </c>
      <c r="S16" s="263">
        <f>S17+S20+S23+S26+S29+S32</f>
        <v>43799.785286400016</v>
      </c>
      <c r="T16" s="264">
        <f>S16*T57</f>
        <v>24659.279116243208</v>
      </c>
      <c r="U16" s="265">
        <f>S16*T58</f>
        <v>14891.926997376007</v>
      </c>
      <c r="V16" s="263">
        <v>49284.89</v>
      </c>
      <c r="W16" s="264">
        <f>W18*V19*12/1000</f>
        <v>24404.926824000002</v>
      </c>
      <c r="X16" s="265">
        <f>X18*V19*12/1000</f>
        <v>16626.22752</v>
      </c>
      <c r="Y16" s="263">
        <f>Y17+Y20+Y23+Y26+Y29+Y32</f>
        <v>44966.173568576836</v>
      </c>
      <c r="Z16" s="264">
        <f>Y16*Z57</f>
        <v>25315.955719108755</v>
      </c>
      <c r="AA16" s="265">
        <f>Y16*Z58</f>
        <v>15288.499013316125</v>
      </c>
      <c r="AB16" s="263">
        <f>AB17</f>
        <v>51749.133156000004</v>
      </c>
      <c r="AC16" s="264">
        <f>AB19*AC18*12/1000</f>
        <v>25357.075246439999</v>
      </c>
      <c r="AD16" s="264">
        <f>AB19*AD18*12/1000</f>
        <v>17594.705273040003</v>
      </c>
      <c r="AE16" s="263">
        <f>AF16+AG16</f>
        <v>50029.232000000004</v>
      </c>
      <c r="AF16" s="264">
        <v>28949.162</v>
      </c>
      <c r="AG16" s="264">
        <v>21080.07</v>
      </c>
      <c r="AH16" s="263">
        <f>AI16+AJ16</f>
        <v>44131.66</v>
      </c>
      <c r="AI16" s="264">
        <v>25833.17</v>
      </c>
      <c r="AJ16" s="1002">
        <v>18298.490000000002</v>
      </c>
      <c r="AK16" s="263"/>
      <c r="AL16" s="264">
        <v>35996.33</v>
      </c>
      <c r="AM16" s="1002">
        <v>27215.1</v>
      </c>
      <c r="AN16" s="263"/>
      <c r="AO16" s="264">
        <v>26603</v>
      </c>
      <c r="AP16" s="265">
        <v>18732.169999999998</v>
      </c>
      <c r="AQ16" s="999">
        <f>AQ17+AQ20+AQ23+AQ26+AQ29+AQ32</f>
        <v>0</v>
      </c>
      <c r="AR16" s="264">
        <v>37436.199999999997</v>
      </c>
      <c r="AS16" s="265">
        <v>28303.7</v>
      </c>
      <c r="AT16" s="263">
        <f>AU16+AV16</f>
        <v>68369.5</v>
      </c>
      <c r="AU16" s="264">
        <v>38933.65</v>
      </c>
      <c r="AV16" s="1002">
        <v>29435.85</v>
      </c>
      <c r="AW16" s="263">
        <f>AW17+AW20+AW23+AW26+AW29+AW32</f>
        <v>0</v>
      </c>
      <c r="AX16" s="264">
        <v>39712.32</v>
      </c>
      <c r="AY16" s="265">
        <v>30613.29</v>
      </c>
      <c r="AZ16" s="999">
        <f>BA16+BB16</f>
        <v>72344.39</v>
      </c>
      <c r="BA16" s="264">
        <v>40506.57</v>
      </c>
      <c r="BB16" s="265">
        <v>31837.82</v>
      </c>
    </row>
    <row r="17" spans="2:54">
      <c r="B17" s="266"/>
      <c r="C17" s="15" t="s">
        <v>666</v>
      </c>
      <c r="D17" s="251" t="s">
        <v>606</v>
      </c>
      <c r="E17" s="267">
        <f>(E18*E19*12)/1000</f>
        <v>0</v>
      </c>
      <c r="F17" s="268">
        <f>(F18*F19*12)/1000</f>
        <v>0</v>
      </c>
      <c r="G17" s="269">
        <f>(G18*G19*12)/1000</f>
        <v>40747.686240000003</v>
      </c>
      <c r="H17" s="255">
        <f>G17*$B$57</f>
        <v>20129.357002560002</v>
      </c>
      <c r="I17" s="256">
        <f>G17*$B$58</f>
        <v>15378.176786976002</v>
      </c>
      <c r="J17" s="269">
        <f>(J18*J19*12)/1000</f>
        <v>38856.168720000001</v>
      </c>
      <c r="K17" s="255">
        <f>J17*$B$57</f>
        <v>19194.947347680001</v>
      </c>
      <c r="L17" s="256">
        <f>J17*$B$58</f>
        <v>14664.318074928002</v>
      </c>
      <c r="M17" s="269">
        <f t="shared" ref="M17:BB17" si="24">(M18*M19*12)/1000</f>
        <v>42540.584000000003</v>
      </c>
      <c r="N17" s="270">
        <f>'К ВС'!N324</f>
        <v>125555.68150020801</v>
      </c>
      <c r="O17" s="271">
        <f t="shared" si="24"/>
        <v>0</v>
      </c>
      <c r="P17" s="269">
        <f>(P18*P19*12)/1000</f>
        <v>41713.945</v>
      </c>
      <c r="Q17" s="270">
        <f>(Q18*Q19*12)/1000</f>
        <v>0</v>
      </c>
      <c r="R17" s="271">
        <f>(R18*R19*12)/1000</f>
        <v>0</v>
      </c>
      <c r="S17" s="269">
        <f t="shared" si="24"/>
        <v>43799.785286400016</v>
      </c>
      <c r="T17" s="270">
        <f t="shared" si="24"/>
        <v>0</v>
      </c>
      <c r="U17" s="271">
        <f t="shared" si="24"/>
        <v>0</v>
      </c>
      <c r="V17" s="269">
        <f>V16</f>
        <v>49284.89</v>
      </c>
      <c r="W17" s="270">
        <f>(W18*W19*12)/1000</f>
        <v>0</v>
      </c>
      <c r="X17" s="271">
        <f>(X18*X19*12)/1000</f>
        <v>0</v>
      </c>
      <c r="Y17" s="269">
        <f t="shared" si="24"/>
        <v>44966.173568576836</v>
      </c>
      <c r="Z17" s="270">
        <f t="shared" si="24"/>
        <v>0</v>
      </c>
      <c r="AA17" s="271">
        <f t="shared" si="24"/>
        <v>0</v>
      </c>
      <c r="AB17" s="269">
        <f>(AB18*AB19*12)/1000</f>
        <v>51749.133156000004</v>
      </c>
      <c r="AC17" s="270"/>
      <c r="AD17" s="271"/>
      <c r="AE17" s="269"/>
      <c r="AF17" s="270"/>
      <c r="AG17" s="271"/>
      <c r="AH17" s="269">
        <f t="shared" si="24"/>
        <v>46594.59356732633</v>
      </c>
      <c r="AI17" s="270">
        <f t="shared" si="24"/>
        <v>0</v>
      </c>
      <c r="AJ17" s="1003">
        <f t="shared" si="24"/>
        <v>18298.490000000005</v>
      </c>
      <c r="AK17" s="269"/>
      <c r="AL17" s="270"/>
      <c r="AM17" s="1003"/>
      <c r="AN17" s="269"/>
      <c r="AO17" s="270"/>
      <c r="AP17" s="271"/>
      <c r="AQ17" s="1008">
        <f t="shared" si="24"/>
        <v>0</v>
      </c>
      <c r="AR17" s="270">
        <f t="shared" si="24"/>
        <v>37436.199999999997</v>
      </c>
      <c r="AS17" s="271">
        <f>AS16</f>
        <v>28303.7</v>
      </c>
      <c r="AT17" s="269">
        <f t="shared" si="24"/>
        <v>0</v>
      </c>
      <c r="AU17" s="270">
        <f>AU16</f>
        <v>38933.65</v>
      </c>
      <c r="AV17" s="1003">
        <f t="shared" si="24"/>
        <v>29435.85</v>
      </c>
      <c r="AW17" s="269">
        <f t="shared" si="24"/>
        <v>0</v>
      </c>
      <c r="AX17" s="270">
        <f t="shared" si="24"/>
        <v>39712.319999999992</v>
      </c>
      <c r="AY17" s="271">
        <f t="shared" si="24"/>
        <v>30613.29</v>
      </c>
      <c r="AZ17" s="1008">
        <f t="shared" si="24"/>
        <v>0</v>
      </c>
      <c r="BA17" s="270">
        <f t="shared" si="24"/>
        <v>40506.57</v>
      </c>
      <c r="BB17" s="271">
        <f t="shared" si="24"/>
        <v>31837.82</v>
      </c>
    </row>
    <row r="18" spans="2:54">
      <c r="B18" s="266"/>
      <c r="C18" s="39" t="s">
        <v>667</v>
      </c>
      <c r="D18" s="251" t="s">
        <v>668</v>
      </c>
      <c r="E18" s="252"/>
      <c r="F18" s="253"/>
      <c r="G18" s="254">
        <v>68</v>
      </c>
      <c r="H18" s="255">
        <f>G18*$B$57</f>
        <v>33.591999999999999</v>
      </c>
      <c r="I18" s="256">
        <f>G18*$B$58</f>
        <v>25.6632</v>
      </c>
      <c r="J18" s="254">
        <v>69</v>
      </c>
      <c r="K18" s="272">
        <f>J18*K57</f>
        <v>38.846999999999994</v>
      </c>
      <c r="L18" s="273">
        <f>J18*K58</f>
        <v>23.46</v>
      </c>
      <c r="M18" s="254">
        <v>68</v>
      </c>
      <c r="N18" s="255">
        <f>M18*N57</f>
        <v>38.283999999999999</v>
      </c>
      <c r="O18" s="256">
        <v>24</v>
      </c>
      <c r="P18" s="254">
        <v>68</v>
      </c>
      <c r="Q18" s="255"/>
      <c r="R18" s="256"/>
      <c r="S18" s="254">
        <v>68</v>
      </c>
      <c r="T18" s="255"/>
      <c r="U18" s="256"/>
      <c r="V18" s="254">
        <v>83</v>
      </c>
      <c r="W18" s="255">
        <v>41.1</v>
      </c>
      <c r="X18" s="256">
        <v>28</v>
      </c>
      <c r="Y18" s="254">
        <v>68</v>
      </c>
      <c r="Z18" s="255"/>
      <c r="AA18" s="256"/>
      <c r="AB18" s="254">
        <v>83</v>
      </c>
      <c r="AC18" s="255">
        <f>AB18*0.49</f>
        <v>40.67</v>
      </c>
      <c r="AD18" s="256">
        <f>AB18*0.34</f>
        <v>28.220000000000002</v>
      </c>
      <c r="AE18" s="254">
        <f>AF18+AG18</f>
        <v>76</v>
      </c>
      <c r="AF18" s="255">
        <v>44</v>
      </c>
      <c r="AG18" s="256">
        <v>32</v>
      </c>
      <c r="AH18" s="254">
        <f>AI18+AJ18</f>
        <v>68.06</v>
      </c>
      <c r="AI18" s="255">
        <v>39.840000000000003</v>
      </c>
      <c r="AJ18" s="1000">
        <v>28.22</v>
      </c>
      <c r="AK18" s="1015"/>
      <c r="AL18" s="255">
        <v>48.83</v>
      </c>
      <c r="AM18" s="1000">
        <v>36.85</v>
      </c>
      <c r="AN18" s="1015"/>
      <c r="AO18" s="255">
        <v>39.840000000000003</v>
      </c>
      <c r="AP18" s="256">
        <v>28.22</v>
      </c>
      <c r="AQ18" s="772"/>
      <c r="AR18" s="255">
        <v>48.38</v>
      </c>
      <c r="AS18" s="256">
        <v>36.85</v>
      </c>
      <c r="AT18" s="254"/>
      <c r="AU18" s="255">
        <v>48.38</v>
      </c>
      <c r="AV18" s="1000">
        <v>36.85</v>
      </c>
      <c r="AW18" s="254"/>
      <c r="AX18" s="255">
        <v>48.38</v>
      </c>
      <c r="AY18" s="256">
        <v>36.85</v>
      </c>
      <c r="AZ18" s="772"/>
      <c r="BA18" s="255">
        <v>48.38</v>
      </c>
      <c r="BB18" s="256">
        <v>36.85</v>
      </c>
    </row>
    <row r="19" spans="2:54">
      <c r="B19" s="266"/>
      <c r="C19" s="39" t="s">
        <v>669</v>
      </c>
      <c r="D19" s="251" t="s">
        <v>670</v>
      </c>
      <c r="E19" s="252"/>
      <c r="F19" s="253"/>
      <c r="G19" s="254">
        <v>49935.89</v>
      </c>
      <c r="H19" s="255"/>
      <c r="I19" s="256"/>
      <c r="J19" s="254">
        <v>46927.74</v>
      </c>
      <c r="K19" s="255"/>
      <c r="L19" s="256"/>
      <c r="M19" s="254">
        <f>42540.584/68/12*1000</f>
        <v>52133.068627450986</v>
      </c>
      <c r="N19" s="255"/>
      <c r="O19" s="256"/>
      <c r="P19" s="254">
        <f>41713.945/12/68*1000</f>
        <v>51120.030637254902</v>
      </c>
      <c r="Q19" s="255"/>
      <c r="R19" s="256"/>
      <c r="S19" s="254">
        <f>M19*S2</f>
        <v>53676.207458823541</v>
      </c>
      <c r="T19" s="255"/>
      <c r="U19" s="256"/>
      <c r="V19" s="254">
        <v>49482.82</v>
      </c>
      <c r="W19" s="255"/>
      <c r="X19" s="256"/>
      <c r="Y19" s="254">
        <f>S19*Z2</f>
        <v>55105.604863452005</v>
      </c>
      <c r="Z19" s="255"/>
      <c r="AA19" s="256"/>
      <c r="AB19" s="254">
        <f>V19*AB2</f>
        <v>51956.961000000003</v>
      </c>
      <c r="AC19" s="255"/>
      <c r="AD19" s="255"/>
      <c r="AE19" s="254">
        <f>AE16/AE18/12*1000</f>
        <v>54856.614035087725</v>
      </c>
      <c r="AF19" s="255">
        <f>AF16/12/AF18</f>
        <v>54.827958333333328</v>
      </c>
      <c r="AG19" s="255">
        <f>AG16/12/AG18</f>
        <v>54.896015624999997</v>
      </c>
      <c r="AH19" s="254">
        <f>AE19*1.04</f>
        <v>57050.878596491239</v>
      </c>
      <c r="AI19" s="255"/>
      <c r="AJ19" s="1000">
        <f>AJ16/AJ18/12*1000</f>
        <v>54035.229151901738</v>
      </c>
      <c r="AK19" s="1015"/>
      <c r="AL19" s="255">
        <f>AL16/AL18/12*1000</f>
        <v>61431.377568434706</v>
      </c>
      <c r="AM19" s="255">
        <f>AM16/AM18/12*1000</f>
        <v>61544.776119402974</v>
      </c>
      <c r="AN19" s="1015"/>
      <c r="AO19" s="255">
        <f>AO16/AO18/12*1000</f>
        <v>55645.498661311911</v>
      </c>
      <c r="AP19" s="256">
        <f>AP16/AP18/12*1000</f>
        <v>55315.881171745808</v>
      </c>
      <c r="AQ19" s="772"/>
      <c r="AR19" s="255">
        <f>AR16/AR18/12*1000</f>
        <v>64482.913049469476</v>
      </c>
      <c r="AS19" s="255">
        <f>AS16/AS18/12*1000</f>
        <v>64006.558118498418</v>
      </c>
      <c r="AT19" s="254"/>
      <c r="AU19" s="255">
        <f>AU16/AU18/12*1000</f>
        <v>67062.233016397964</v>
      </c>
      <c r="AV19" s="1078">
        <f>AV16/AV18/12*1000</f>
        <v>66566.824966078697</v>
      </c>
      <c r="AW19" s="254">
        <f>AT19*AW2</f>
        <v>0</v>
      </c>
      <c r="AX19" s="255">
        <f>AX16/AX18/12*1000</f>
        <v>68403.472509301355</v>
      </c>
      <c r="AY19" s="1057">
        <f>AY16/AY18/12*1000</f>
        <v>69229.511533242869</v>
      </c>
      <c r="AZ19" s="1080">
        <f>AW19*AZ2</f>
        <v>0</v>
      </c>
      <c r="BA19" s="255">
        <f>BA16/BA18/12*1000</f>
        <v>69771.548160396851</v>
      </c>
      <c r="BB19" s="256">
        <f>BB16/BB18/12*1000</f>
        <v>71998.688376300313</v>
      </c>
    </row>
    <row r="20" spans="2:54" ht="15" hidden="1" customHeight="1">
      <c r="B20" s="266"/>
      <c r="C20" s="15" t="s">
        <v>671</v>
      </c>
      <c r="D20" s="251" t="s">
        <v>606</v>
      </c>
      <c r="E20" s="252">
        <f t="shared" ref="E20:BB20" si="25">(E21*E22*12)/1000</f>
        <v>0</v>
      </c>
      <c r="F20" s="253">
        <f t="shared" si="25"/>
        <v>0</v>
      </c>
      <c r="G20" s="269">
        <f t="shared" si="25"/>
        <v>0</v>
      </c>
      <c r="H20" s="270">
        <f t="shared" si="25"/>
        <v>0</v>
      </c>
      <c r="I20" s="271">
        <f t="shared" si="25"/>
        <v>0</v>
      </c>
      <c r="J20" s="269">
        <f t="shared" si="25"/>
        <v>0</v>
      </c>
      <c r="K20" s="270">
        <f t="shared" si="25"/>
        <v>0</v>
      </c>
      <c r="L20" s="271">
        <f t="shared" si="25"/>
        <v>0</v>
      </c>
      <c r="M20" s="269">
        <f t="shared" si="25"/>
        <v>0</v>
      </c>
      <c r="N20" s="270">
        <f t="shared" si="25"/>
        <v>0</v>
      </c>
      <c r="O20" s="271">
        <f t="shared" si="25"/>
        <v>0</v>
      </c>
      <c r="P20" s="269">
        <f>(P21*P22*12)/1000</f>
        <v>0</v>
      </c>
      <c r="Q20" s="270">
        <f>(Q21*Q22*12)/1000</f>
        <v>0</v>
      </c>
      <c r="R20" s="271">
        <f>(R21*R22*12)/1000</f>
        <v>0</v>
      </c>
      <c r="S20" s="269">
        <f t="shared" si="25"/>
        <v>0</v>
      </c>
      <c r="T20" s="270">
        <f t="shared" si="25"/>
        <v>0</v>
      </c>
      <c r="U20" s="271">
        <f t="shared" si="25"/>
        <v>0</v>
      </c>
      <c r="V20" s="269">
        <f>(V21*V22*12)/1000</f>
        <v>0</v>
      </c>
      <c r="W20" s="270">
        <f>(W21*W22*12)/1000</f>
        <v>0</v>
      </c>
      <c r="X20" s="271">
        <f>(X21*X22*12)/1000</f>
        <v>0</v>
      </c>
      <c r="Y20" s="269">
        <f t="shared" si="25"/>
        <v>0</v>
      </c>
      <c r="Z20" s="270">
        <f t="shared" si="25"/>
        <v>0</v>
      </c>
      <c r="AA20" s="271">
        <f t="shared" si="25"/>
        <v>0</v>
      </c>
      <c r="AB20" s="269">
        <f t="shared" ref="AB20:AG20" si="26">(AB21*AB22*12)/1000</f>
        <v>0</v>
      </c>
      <c r="AC20" s="270">
        <f t="shared" si="26"/>
        <v>0</v>
      </c>
      <c r="AD20" s="271">
        <f t="shared" si="26"/>
        <v>0</v>
      </c>
      <c r="AE20" s="269"/>
      <c r="AF20" s="270">
        <f t="shared" si="26"/>
        <v>0</v>
      </c>
      <c r="AG20" s="271">
        <f t="shared" si="26"/>
        <v>0</v>
      </c>
      <c r="AH20" s="269">
        <f t="shared" si="25"/>
        <v>0</v>
      </c>
      <c r="AI20" s="270">
        <f t="shared" si="25"/>
        <v>0</v>
      </c>
      <c r="AJ20" s="1003">
        <f t="shared" si="25"/>
        <v>0</v>
      </c>
      <c r="AK20" s="269"/>
      <c r="AL20" s="270"/>
      <c r="AM20" s="1003"/>
      <c r="AN20" s="269"/>
      <c r="AO20" s="270"/>
      <c r="AP20" s="271"/>
      <c r="AQ20" s="1008">
        <f t="shared" si="25"/>
        <v>0</v>
      </c>
      <c r="AR20" s="270">
        <f t="shared" si="25"/>
        <v>0</v>
      </c>
      <c r="AS20" s="271">
        <f t="shared" si="25"/>
        <v>0</v>
      </c>
      <c r="AT20" s="269">
        <f t="shared" si="25"/>
        <v>0</v>
      </c>
      <c r="AU20" s="270">
        <f t="shared" si="25"/>
        <v>0</v>
      </c>
      <c r="AV20" s="1003">
        <f t="shared" si="25"/>
        <v>0</v>
      </c>
      <c r="AW20" s="269">
        <f t="shared" si="25"/>
        <v>0</v>
      </c>
      <c r="AX20" s="270">
        <f t="shared" si="25"/>
        <v>0</v>
      </c>
      <c r="AY20" s="271">
        <f t="shared" si="25"/>
        <v>0</v>
      </c>
      <c r="AZ20" s="1081">
        <f t="shared" si="25"/>
        <v>0</v>
      </c>
      <c r="BA20" s="270">
        <f t="shared" si="25"/>
        <v>0</v>
      </c>
      <c r="BB20" s="1032">
        <f t="shared" si="25"/>
        <v>0</v>
      </c>
    </row>
    <row r="21" spans="2:54" ht="15" hidden="1" customHeight="1">
      <c r="B21" s="266"/>
      <c r="C21" s="39" t="s">
        <v>667</v>
      </c>
      <c r="D21" s="251" t="s">
        <v>668</v>
      </c>
      <c r="E21" s="252"/>
      <c r="F21" s="253"/>
      <c r="G21" s="254"/>
      <c r="H21" s="255"/>
      <c r="I21" s="256"/>
      <c r="J21" s="254"/>
      <c r="K21" s="255"/>
      <c r="L21" s="256"/>
      <c r="M21" s="254"/>
      <c r="N21" s="255"/>
      <c r="O21" s="256"/>
      <c r="P21" s="254"/>
      <c r="Q21" s="255"/>
      <c r="R21" s="256"/>
      <c r="S21" s="254"/>
      <c r="T21" s="255"/>
      <c r="U21" s="256"/>
      <c r="V21" s="254"/>
      <c r="W21" s="255"/>
      <c r="X21" s="256"/>
      <c r="Y21" s="254"/>
      <c r="Z21" s="255"/>
      <c r="AA21" s="256"/>
      <c r="AB21" s="254"/>
      <c r="AC21" s="255"/>
      <c r="AD21" s="256"/>
      <c r="AE21" s="254"/>
      <c r="AF21" s="255"/>
      <c r="AG21" s="256"/>
      <c r="AH21" s="254"/>
      <c r="AI21" s="255"/>
      <c r="AJ21" s="1000"/>
      <c r="AK21" s="1015"/>
      <c r="AL21" s="1011"/>
      <c r="AM21" s="1000"/>
      <c r="AN21" s="1015"/>
      <c r="AO21" s="1011"/>
      <c r="AP21" s="256"/>
      <c r="AQ21" s="772"/>
      <c r="AR21" s="255"/>
      <c r="AS21" s="256"/>
      <c r="AT21" s="254"/>
      <c r="AU21" s="255"/>
      <c r="AV21" s="1000"/>
      <c r="AW21" s="254"/>
      <c r="AX21" s="255"/>
      <c r="AY21" s="256"/>
      <c r="AZ21" s="1080"/>
      <c r="BA21" s="255"/>
      <c r="BB21" s="1028"/>
    </row>
    <row r="22" spans="2:54" ht="15" hidden="1" customHeight="1">
      <c r="B22" s="266"/>
      <c r="C22" s="39" t="s">
        <v>669</v>
      </c>
      <c r="D22" s="251" t="s">
        <v>670</v>
      </c>
      <c r="E22" s="252"/>
      <c r="F22" s="253"/>
      <c r="G22" s="254"/>
      <c r="H22" s="255"/>
      <c r="I22" s="256"/>
      <c r="J22" s="254"/>
      <c r="K22" s="255"/>
      <c r="L22" s="256"/>
      <c r="M22" s="254"/>
      <c r="N22" s="255"/>
      <c r="O22" s="256"/>
      <c r="P22" s="254"/>
      <c r="Q22" s="255"/>
      <c r="R22" s="256"/>
      <c r="S22" s="254"/>
      <c r="T22" s="255"/>
      <c r="U22" s="256"/>
      <c r="V22" s="254"/>
      <c r="W22" s="255"/>
      <c r="X22" s="256"/>
      <c r="Y22" s="254"/>
      <c r="Z22" s="255"/>
      <c r="AA22" s="256"/>
      <c r="AB22" s="254"/>
      <c r="AC22" s="255"/>
      <c r="AD22" s="256"/>
      <c r="AE22" s="254"/>
      <c r="AF22" s="255"/>
      <c r="AG22" s="256"/>
      <c r="AH22" s="254"/>
      <c r="AI22" s="255"/>
      <c r="AJ22" s="1000"/>
      <c r="AK22" s="1015"/>
      <c r="AL22" s="1011"/>
      <c r="AM22" s="1000"/>
      <c r="AN22" s="1015"/>
      <c r="AO22" s="1011"/>
      <c r="AP22" s="256"/>
      <c r="AQ22" s="772"/>
      <c r="AR22" s="255"/>
      <c r="AS22" s="256"/>
      <c r="AT22" s="254"/>
      <c r="AU22" s="255"/>
      <c r="AV22" s="1000"/>
      <c r="AW22" s="254"/>
      <c r="AX22" s="255"/>
      <c r="AY22" s="256"/>
      <c r="AZ22" s="1080"/>
      <c r="BA22" s="255"/>
      <c r="BB22" s="1028"/>
    </row>
    <row r="23" spans="2:54" ht="15" hidden="1" customHeight="1">
      <c r="B23" s="266"/>
      <c r="C23" s="15" t="s">
        <v>672</v>
      </c>
      <c r="D23" s="251" t="s">
        <v>606</v>
      </c>
      <c r="E23" s="252">
        <f t="shared" ref="E23:BB23" si="27">(E24*E25*12)/1000</f>
        <v>0</v>
      </c>
      <c r="F23" s="253">
        <f t="shared" si="27"/>
        <v>0</v>
      </c>
      <c r="G23" s="269">
        <f t="shared" si="27"/>
        <v>0</v>
      </c>
      <c r="H23" s="270">
        <f t="shared" si="27"/>
        <v>0</v>
      </c>
      <c r="I23" s="271">
        <f t="shared" si="27"/>
        <v>0</v>
      </c>
      <c r="J23" s="269">
        <f t="shared" si="27"/>
        <v>0</v>
      </c>
      <c r="K23" s="270">
        <f t="shared" si="27"/>
        <v>0</v>
      </c>
      <c r="L23" s="271">
        <f t="shared" si="27"/>
        <v>0</v>
      </c>
      <c r="M23" s="269">
        <f t="shared" si="27"/>
        <v>0</v>
      </c>
      <c r="N23" s="270">
        <f t="shared" si="27"/>
        <v>0</v>
      </c>
      <c r="O23" s="271">
        <f t="shared" si="27"/>
        <v>0</v>
      </c>
      <c r="P23" s="269">
        <f>(P24*P25*12)/1000</f>
        <v>0</v>
      </c>
      <c r="Q23" s="270">
        <f>(Q24*Q25*12)/1000</f>
        <v>0</v>
      </c>
      <c r="R23" s="271">
        <f>(R24*R25*12)/1000</f>
        <v>0</v>
      </c>
      <c r="S23" s="269">
        <f t="shared" si="27"/>
        <v>0</v>
      </c>
      <c r="T23" s="270">
        <f t="shared" si="27"/>
        <v>0</v>
      </c>
      <c r="U23" s="271">
        <f t="shared" si="27"/>
        <v>0</v>
      </c>
      <c r="V23" s="269">
        <f>(V24*V25*12)/1000</f>
        <v>0</v>
      </c>
      <c r="W23" s="270">
        <f>(W24*W25*12)/1000</f>
        <v>0</v>
      </c>
      <c r="X23" s="271">
        <f>(X24*X25*12)/1000</f>
        <v>0</v>
      </c>
      <c r="Y23" s="269">
        <f t="shared" si="27"/>
        <v>0</v>
      </c>
      <c r="Z23" s="270">
        <f t="shared" si="27"/>
        <v>0</v>
      </c>
      <c r="AA23" s="271">
        <f t="shared" si="27"/>
        <v>0</v>
      </c>
      <c r="AB23" s="269">
        <f t="shared" ref="AB23:AG23" si="28">(AB24*AB25*12)/1000</f>
        <v>0</v>
      </c>
      <c r="AC23" s="270">
        <f t="shared" si="28"/>
        <v>0</v>
      </c>
      <c r="AD23" s="271">
        <f t="shared" si="28"/>
        <v>0</v>
      </c>
      <c r="AE23" s="269"/>
      <c r="AF23" s="270">
        <f t="shared" si="28"/>
        <v>0</v>
      </c>
      <c r="AG23" s="271">
        <f t="shared" si="28"/>
        <v>0</v>
      </c>
      <c r="AH23" s="269">
        <f t="shared" si="27"/>
        <v>0</v>
      </c>
      <c r="AI23" s="270">
        <f t="shared" si="27"/>
        <v>0</v>
      </c>
      <c r="AJ23" s="1003">
        <f t="shared" si="27"/>
        <v>0</v>
      </c>
      <c r="AK23" s="269"/>
      <c r="AL23" s="270"/>
      <c r="AM23" s="1003"/>
      <c r="AN23" s="269"/>
      <c r="AO23" s="270"/>
      <c r="AP23" s="271"/>
      <c r="AQ23" s="1008">
        <f t="shared" si="27"/>
        <v>0</v>
      </c>
      <c r="AR23" s="270">
        <f t="shared" si="27"/>
        <v>0</v>
      </c>
      <c r="AS23" s="271">
        <f t="shared" si="27"/>
        <v>0</v>
      </c>
      <c r="AT23" s="269">
        <f t="shared" si="27"/>
        <v>0</v>
      </c>
      <c r="AU23" s="270">
        <f t="shared" si="27"/>
        <v>0</v>
      </c>
      <c r="AV23" s="1003">
        <f t="shared" si="27"/>
        <v>0</v>
      </c>
      <c r="AW23" s="269">
        <f t="shared" si="27"/>
        <v>0</v>
      </c>
      <c r="AX23" s="270">
        <f t="shared" si="27"/>
        <v>0</v>
      </c>
      <c r="AY23" s="271">
        <f t="shared" si="27"/>
        <v>0</v>
      </c>
      <c r="AZ23" s="1081">
        <f t="shared" si="27"/>
        <v>0</v>
      </c>
      <c r="BA23" s="270">
        <f t="shared" si="27"/>
        <v>0</v>
      </c>
      <c r="BB23" s="1032">
        <f t="shared" si="27"/>
        <v>0</v>
      </c>
    </row>
    <row r="24" spans="2:54" ht="15" hidden="1" customHeight="1">
      <c r="B24" s="266"/>
      <c r="C24" s="39" t="s">
        <v>667</v>
      </c>
      <c r="D24" s="251" t="s">
        <v>668</v>
      </c>
      <c r="E24" s="274"/>
      <c r="F24" s="275"/>
      <c r="G24" s="254"/>
      <c r="H24" s="255"/>
      <c r="I24" s="256"/>
      <c r="J24" s="254"/>
      <c r="K24" s="255"/>
      <c r="L24" s="256"/>
      <c r="M24" s="254"/>
      <c r="N24" s="255"/>
      <c r="O24" s="256"/>
      <c r="P24" s="254"/>
      <c r="Q24" s="255"/>
      <c r="R24" s="256"/>
      <c r="S24" s="254"/>
      <c r="T24" s="255"/>
      <c r="U24" s="256"/>
      <c r="V24" s="254"/>
      <c r="W24" s="255"/>
      <c r="X24" s="256"/>
      <c r="Y24" s="254"/>
      <c r="Z24" s="255"/>
      <c r="AA24" s="256"/>
      <c r="AB24" s="254"/>
      <c r="AC24" s="255"/>
      <c r="AD24" s="256"/>
      <c r="AE24" s="254"/>
      <c r="AF24" s="255"/>
      <c r="AG24" s="256"/>
      <c r="AH24" s="254"/>
      <c r="AI24" s="255"/>
      <c r="AJ24" s="1000"/>
      <c r="AK24" s="1015"/>
      <c r="AL24" s="1011"/>
      <c r="AM24" s="1000"/>
      <c r="AN24" s="1015"/>
      <c r="AO24" s="1011"/>
      <c r="AP24" s="256"/>
      <c r="AQ24" s="772"/>
      <c r="AR24" s="255"/>
      <c r="AS24" s="256"/>
      <c r="AT24" s="254"/>
      <c r="AU24" s="255"/>
      <c r="AV24" s="1000"/>
      <c r="AW24" s="254"/>
      <c r="AX24" s="255"/>
      <c r="AY24" s="256"/>
      <c r="AZ24" s="1080"/>
      <c r="BA24" s="255"/>
      <c r="BB24" s="1028"/>
    </row>
    <row r="25" spans="2:54" ht="15" hidden="1" customHeight="1">
      <c r="B25" s="266"/>
      <c r="C25" s="39" t="s">
        <v>669</v>
      </c>
      <c r="D25" s="251" t="s">
        <v>670</v>
      </c>
      <c r="E25" s="252"/>
      <c r="F25" s="253"/>
      <c r="G25" s="254"/>
      <c r="H25" s="255"/>
      <c r="I25" s="256"/>
      <c r="J25" s="254"/>
      <c r="K25" s="255"/>
      <c r="L25" s="256"/>
      <c r="M25" s="254"/>
      <c r="N25" s="255"/>
      <c r="O25" s="256"/>
      <c r="P25" s="254"/>
      <c r="Q25" s="255"/>
      <c r="R25" s="256"/>
      <c r="S25" s="254"/>
      <c r="T25" s="255"/>
      <c r="U25" s="256"/>
      <c r="V25" s="254"/>
      <c r="W25" s="255"/>
      <c r="X25" s="256"/>
      <c r="Y25" s="254"/>
      <c r="Z25" s="255"/>
      <c r="AA25" s="256"/>
      <c r="AB25" s="254"/>
      <c r="AC25" s="255"/>
      <c r="AD25" s="256"/>
      <c r="AE25" s="254"/>
      <c r="AF25" s="255"/>
      <c r="AG25" s="256"/>
      <c r="AH25" s="254"/>
      <c r="AI25" s="255"/>
      <c r="AJ25" s="1000"/>
      <c r="AK25" s="1015"/>
      <c r="AL25" s="1011"/>
      <c r="AM25" s="1000"/>
      <c r="AN25" s="1015"/>
      <c r="AO25" s="1011"/>
      <c r="AP25" s="256"/>
      <c r="AQ25" s="772"/>
      <c r="AR25" s="255"/>
      <c r="AS25" s="256"/>
      <c r="AT25" s="254"/>
      <c r="AU25" s="255"/>
      <c r="AV25" s="1000"/>
      <c r="AW25" s="254"/>
      <c r="AX25" s="255"/>
      <c r="AY25" s="256"/>
      <c r="AZ25" s="1080"/>
      <c r="BA25" s="255"/>
      <c r="BB25" s="1028"/>
    </row>
    <row r="26" spans="2:54" ht="15" hidden="1" customHeight="1">
      <c r="B26" s="266"/>
      <c r="C26" s="15" t="s">
        <v>673</v>
      </c>
      <c r="D26" s="251" t="s">
        <v>606</v>
      </c>
      <c r="E26" s="252">
        <f t="shared" ref="E26:BB26" si="29">(E27*E28*12)/1000</f>
        <v>0</v>
      </c>
      <c r="F26" s="253">
        <f t="shared" si="29"/>
        <v>0</v>
      </c>
      <c r="G26" s="269">
        <f t="shared" si="29"/>
        <v>0</v>
      </c>
      <c r="H26" s="270">
        <f t="shared" si="29"/>
        <v>0</v>
      </c>
      <c r="I26" s="271">
        <f t="shared" si="29"/>
        <v>0</v>
      </c>
      <c r="J26" s="269">
        <f t="shared" si="29"/>
        <v>0</v>
      </c>
      <c r="K26" s="270">
        <f t="shared" si="29"/>
        <v>0</v>
      </c>
      <c r="L26" s="271">
        <f t="shared" si="29"/>
        <v>0</v>
      </c>
      <c r="M26" s="269">
        <f t="shared" si="29"/>
        <v>0</v>
      </c>
      <c r="N26" s="270">
        <f t="shared" si="29"/>
        <v>0</v>
      </c>
      <c r="O26" s="271">
        <f t="shared" si="29"/>
        <v>0</v>
      </c>
      <c r="P26" s="269">
        <f>(P27*P28*12)/1000</f>
        <v>0</v>
      </c>
      <c r="Q26" s="270">
        <f>(Q27*Q28*12)/1000</f>
        <v>0</v>
      </c>
      <c r="R26" s="271">
        <f>(R27*R28*12)/1000</f>
        <v>0</v>
      </c>
      <c r="S26" s="269">
        <f t="shared" si="29"/>
        <v>0</v>
      </c>
      <c r="T26" s="270">
        <f t="shared" si="29"/>
        <v>0</v>
      </c>
      <c r="U26" s="271">
        <f t="shared" si="29"/>
        <v>0</v>
      </c>
      <c r="V26" s="269">
        <f>(V27*V28*12)/1000</f>
        <v>0</v>
      </c>
      <c r="W26" s="270">
        <f>(W27*W28*12)/1000</f>
        <v>0</v>
      </c>
      <c r="X26" s="271">
        <f>(X27*X28*12)/1000</f>
        <v>0</v>
      </c>
      <c r="Y26" s="269">
        <f t="shared" si="29"/>
        <v>0</v>
      </c>
      <c r="Z26" s="270">
        <f t="shared" si="29"/>
        <v>0</v>
      </c>
      <c r="AA26" s="271">
        <f t="shared" si="29"/>
        <v>0</v>
      </c>
      <c r="AB26" s="269">
        <f t="shared" ref="AB26:AG26" si="30">(AB27*AB28*12)/1000</f>
        <v>0</v>
      </c>
      <c r="AC26" s="270">
        <f t="shared" si="30"/>
        <v>0</v>
      </c>
      <c r="AD26" s="271">
        <f t="shared" si="30"/>
        <v>0</v>
      </c>
      <c r="AE26" s="269"/>
      <c r="AF26" s="270">
        <f t="shared" si="30"/>
        <v>0</v>
      </c>
      <c r="AG26" s="271">
        <f t="shared" si="30"/>
        <v>0</v>
      </c>
      <c r="AH26" s="269">
        <f t="shared" si="29"/>
        <v>0</v>
      </c>
      <c r="AI26" s="270">
        <f t="shared" si="29"/>
        <v>0</v>
      </c>
      <c r="AJ26" s="1003">
        <f t="shared" si="29"/>
        <v>0</v>
      </c>
      <c r="AK26" s="269"/>
      <c r="AL26" s="270"/>
      <c r="AM26" s="1003"/>
      <c r="AN26" s="269"/>
      <c r="AO26" s="270"/>
      <c r="AP26" s="271"/>
      <c r="AQ26" s="1008">
        <f t="shared" si="29"/>
        <v>0</v>
      </c>
      <c r="AR26" s="270">
        <f t="shared" si="29"/>
        <v>0</v>
      </c>
      <c r="AS26" s="271">
        <f t="shared" si="29"/>
        <v>0</v>
      </c>
      <c r="AT26" s="269">
        <f t="shared" si="29"/>
        <v>0</v>
      </c>
      <c r="AU26" s="270">
        <f t="shared" si="29"/>
        <v>0</v>
      </c>
      <c r="AV26" s="1003">
        <f t="shared" si="29"/>
        <v>0</v>
      </c>
      <c r="AW26" s="269">
        <f t="shared" si="29"/>
        <v>0</v>
      </c>
      <c r="AX26" s="270">
        <f t="shared" si="29"/>
        <v>0</v>
      </c>
      <c r="AY26" s="271">
        <f t="shared" si="29"/>
        <v>0</v>
      </c>
      <c r="AZ26" s="1081">
        <f t="shared" si="29"/>
        <v>0</v>
      </c>
      <c r="BA26" s="270">
        <f t="shared" si="29"/>
        <v>0</v>
      </c>
      <c r="BB26" s="1032">
        <f t="shared" si="29"/>
        <v>0</v>
      </c>
    </row>
    <row r="27" spans="2:54" ht="15" hidden="1" customHeight="1">
      <c r="B27" s="266"/>
      <c r="C27" s="39" t="s">
        <v>667</v>
      </c>
      <c r="D27" s="251" t="s">
        <v>668</v>
      </c>
      <c r="E27" s="274"/>
      <c r="F27" s="275"/>
      <c r="G27" s="254"/>
      <c r="H27" s="255"/>
      <c r="I27" s="256"/>
      <c r="J27" s="254"/>
      <c r="K27" s="255"/>
      <c r="L27" s="256"/>
      <c r="M27" s="254"/>
      <c r="N27" s="255"/>
      <c r="O27" s="256"/>
      <c r="P27" s="254"/>
      <c r="Q27" s="255"/>
      <c r="R27" s="256"/>
      <c r="S27" s="254"/>
      <c r="T27" s="255"/>
      <c r="U27" s="256"/>
      <c r="V27" s="254"/>
      <c r="W27" s="255"/>
      <c r="X27" s="256"/>
      <c r="Y27" s="254"/>
      <c r="Z27" s="255"/>
      <c r="AA27" s="256"/>
      <c r="AB27" s="254"/>
      <c r="AC27" s="255"/>
      <c r="AD27" s="256"/>
      <c r="AE27" s="254"/>
      <c r="AF27" s="255"/>
      <c r="AG27" s="256"/>
      <c r="AH27" s="254"/>
      <c r="AI27" s="255"/>
      <c r="AJ27" s="1000"/>
      <c r="AK27" s="1015"/>
      <c r="AL27" s="1011"/>
      <c r="AM27" s="1000"/>
      <c r="AN27" s="1015"/>
      <c r="AO27" s="1011"/>
      <c r="AP27" s="256"/>
      <c r="AQ27" s="772"/>
      <c r="AR27" s="255"/>
      <c r="AS27" s="256"/>
      <c r="AT27" s="254"/>
      <c r="AU27" s="255"/>
      <c r="AV27" s="1000"/>
      <c r="AW27" s="254"/>
      <c r="AX27" s="255"/>
      <c r="AY27" s="256"/>
      <c r="AZ27" s="1080"/>
      <c r="BA27" s="255"/>
      <c r="BB27" s="1028"/>
    </row>
    <row r="28" spans="2:54" ht="15" hidden="1" customHeight="1">
      <c r="B28" s="266"/>
      <c r="C28" s="39" t="s">
        <v>669</v>
      </c>
      <c r="D28" s="251" t="s">
        <v>670</v>
      </c>
      <c r="E28" s="252"/>
      <c r="F28" s="253"/>
      <c r="G28" s="254"/>
      <c r="H28" s="255"/>
      <c r="I28" s="256"/>
      <c r="J28" s="254"/>
      <c r="K28" s="255"/>
      <c r="L28" s="256"/>
      <c r="M28" s="254"/>
      <c r="N28" s="255"/>
      <c r="O28" s="256"/>
      <c r="P28" s="254"/>
      <c r="Q28" s="255"/>
      <c r="R28" s="256"/>
      <c r="S28" s="254"/>
      <c r="T28" s="255"/>
      <c r="U28" s="256"/>
      <c r="V28" s="254"/>
      <c r="W28" s="255"/>
      <c r="X28" s="256"/>
      <c r="Y28" s="254"/>
      <c r="Z28" s="255"/>
      <c r="AA28" s="256"/>
      <c r="AB28" s="254"/>
      <c r="AC28" s="255"/>
      <c r="AD28" s="256"/>
      <c r="AE28" s="254"/>
      <c r="AF28" s="255"/>
      <c r="AG28" s="256"/>
      <c r="AH28" s="254"/>
      <c r="AI28" s="255"/>
      <c r="AJ28" s="1000"/>
      <c r="AK28" s="1015"/>
      <c r="AL28" s="1011"/>
      <c r="AM28" s="1000"/>
      <c r="AN28" s="1015"/>
      <c r="AO28" s="1011"/>
      <c r="AP28" s="256"/>
      <c r="AQ28" s="772"/>
      <c r="AR28" s="255"/>
      <c r="AS28" s="256"/>
      <c r="AT28" s="254"/>
      <c r="AU28" s="255"/>
      <c r="AV28" s="1000"/>
      <c r="AW28" s="254"/>
      <c r="AX28" s="255"/>
      <c r="AY28" s="256"/>
      <c r="AZ28" s="1080"/>
      <c r="BA28" s="255"/>
      <c r="BB28" s="1028"/>
    </row>
    <row r="29" spans="2:54" ht="15" hidden="1" customHeight="1">
      <c r="B29" s="266"/>
      <c r="C29" s="15" t="s">
        <v>674</v>
      </c>
      <c r="D29" s="251" t="s">
        <v>606</v>
      </c>
      <c r="E29" s="252">
        <f t="shared" ref="E29:BB29" si="31">(E30*E31*12)/1000</f>
        <v>0</v>
      </c>
      <c r="F29" s="253">
        <f t="shared" si="31"/>
        <v>0</v>
      </c>
      <c r="G29" s="269">
        <f t="shared" si="31"/>
        <v>0</v>
      </c>
      <c r="H29" s="270">
        <f t="shared" si="31"/>
        <v>0</v>
      </c>
      <c r="I29" s="271">
        <f t="shared" si="31"/>
        <v>0</v>
      </c>
      <c r="J29" s="269">
        <f t="shared" si="31"/>
        <v>0</v>
      </c>
      <c r="K29" s="270">
        <f t="shared" si="31"/>
        <v>0</v>
      </c>
      <c r="L29" s="271">
        <f t="shared" si="31"/>
        <v>0</v>
      </c>
      <c r="M29" s="269">
        <f t="shared" si="31"/>
        <v>0</v>
      </c>
      <c r="N29" s="270">
        <f t="shared" si="31"/>
        <v>0</v>
      </c>
      <c r="O29" s="271">
        <f t="shared" si="31"/>
        <v>0</v>
      </c>
      <c r="P29" s="269">
        <f>(P30*P31*12)/1000</f>
        <v>0</v>
      </c>
      <c r="Q29" s="270">
        <f>(Q30*Q31*12)/1000</f>
        <v>0</v>
      </c>
      <c r="R29" s="271">
        <f>(R30*R31*12)/1000</f>
        <v>0</v>
      </c>
      <c r="S29" s="269">
        <f t="shared" si="31"/>
        <v>0</v>
      </c>
      <c r="T29" s="270">
        <f t="shared" si="31"/>
        <v>0</v>
      </c>
      <c r="U29" s="271">
        <f t="shared" si="31"/>
        <v>0</v>
      </c>
      <c r="V29" s="269">
        <f>(V30*V31*12)/1000</f>
        <v>0</v>
      </c>
      <c r="W29" s="270">
        <f>(W30*W31*12)/1000</f>
        <v>0</v>
      </c>
      <c r="X29" s="271">
        <f>(X30*X31*12)/1000</f>
        <v>0</v>
      </c>
      <c r="Y29" s="269">
        <f t="shared" si="31"/>
        <v>0</v>
      </c>
      <c r="Z29" s="270">
        <f t="shared" si="31"/>
        <v>0</v>
      </c>
      <c r="AA29" s="271">
        <f t="shared" si="31"/>
        <v>0</v>
      </c>
      <c r="AB29" s="269">
        <f t="shared" ref="AB29:AG29" si="32">(AB30*AB31*12)/1000</f>
        <v>0</v>
      </c>
      <c r="AC29" s="270">
        <f t="shared" si="32"/>
        <v>0</v>
      </c>
      <c r="AD29" s="271">
        <f t="shared" si="32"/>
        <v>0</v>
      </c>
      <c r="AE29" s="269"/>
      <c r="AF29" s="270">
        <f t="shared" si="32"/>
        <v>0</v>
      </c>
      <c r="AG29" s="271">
        <f t="shared" si="32"/>
        <v>0</v>
      </c>
      <c r="AH29" s="269">
        <f t="shared" si="31"/>
        <v>0</v>
      </c>
      <c r="AI29" s="270">
        <f t="shared" si="31"/>
        <v>0</v>
      </c>
      <c r="AJ29" s="1003">
        <f t="shared" si="31"/>
        <v>0</v>
      </c>
      <c r="AK29" s="269"/>
      <c r="AL29" s="270"/>
      <c r="AM29" s="1003"/>
      <c r="AN29" s="269"/>
      <c r="AO29" s="270"/>
      <c r="AP29" s="271"/>
      <c r="AQ29" s="1008">
        <f t="shared" si="31"/>
        <v>0</v>
      </c>
      <c r="AR29" s="270">
        <f t="shared" si="31"/>
        <v>0</v>
      </c>
      <c r="AS29" s="271">
        <f t="shared" si="31"/>
        <v>0</v>
      </c>
      <c r="AT29" s="269">
        <f t="shared" si="31"/>
        <v>0</v>
      </c>
      <c r="AU29" s="270">
        <f t="shared" si="31"/>
        <v>0</v>
      </c>
      <c r="AV29" s="1003">
        <f t="shared" si="31"/>
        <v>0</v>
      </c>
      <c r="AW29" s="269">
        <f t="shared" si="31"/>
        <v>0</v>
      </c>
      <c r="AX29" s="270">
        <f t="shared" si="31"/>
        <v>0</v>
      </c>
      <c r="AY29" s="271">
        <f t="shared" si="31"/>
        <v>0</v>
      </c>
      <c r="AZ29" s="1081">
        <f t="shared" si="31"/>
        <v>0</v>
      </c>
      <c r="BA29" s="270">
        <f t="shared" si="31"/>
        <v>0</v>
      </c>
      <c r="BB29" s="1032">
        <f t="shared" si="31"/>
        <v>0</v>
      </c>
    </row>
    <row r="30" spans="2:54" ht="15" hidden="1" customHeight="1">
      <c r="B30" s="266"/>
      <c r="C30" s="39" t="s">
        <v>667</v>
      </c>
      <c r="D30" s="251" t="s">
        <v>668</v>
      </c>
      <c r="E30" s="274"/>
      <c r="F30" s="275"/>
      <c r="G30" s="254"/>
      <c r="H30" s="255"/>
      <c r="I30" s="256"/>
      <c r="J30" s="254"/>
      <c r="K30" s="255"/>
      <c r="L30" s="256"/>
      <c r="M30" s="254"/>
      <c r="N30" s="255"/>
      <c r="O30" s="256"/>
      <c r="P30" s="254"/>
      <c r="Q30" s="255"/>
      <c r="R30" s="256"/>
      <c r="S30" s="254"/>
      <c r="T30" s="255"/>
      <c r="U30" s="256"/>
      <c r="V30" s="254"/>
      <c r="W30" s="255"/>
      <c r="X30" s="256"/>
      <c r="Y30" s="254"/>
      <c r="Z30" s="255"/>
      <c r="AA30" s="256"/>
      <c r="AB30" s="254"/>
      <c r="AC30" s="255"/>
      <c r="AD30" s="256"/>
      <c r="AE30" s="254"/>
      <c r="AF30" s="255"/>
      <c r="AG30" s="256"/>
      <c r="AH30" s="254"/>
      <c r="AI30" s="255"/>
      <c r="AJ30" s="1000"/>
      <c r="AK30" s="1015"/>
      <c r="AL30" s="1011"/>
      <c r="AM30" s="1000"/>
      <c r="AN30" s="1015"/>
      <c r="AO30" s="1011"/>
      <c r="AP30" s="256"/>
      <c r="AQ30" s="772"/>
      <c r="AR30" s="255"/>
      <c r="AS30" s="256"/>
      <c r="AT30" s="254"/>
      <c r="AU30" s="255"/>
      <c r="AV30" s="1000"/>
      <c r="AW30" s="254"/>
      <c r="AX30" s="255"/>
      <c r="AY30" s="256"/>
      <c r="AZ30" s="1080"/>
      <c r="BA30" s="255"/>
      <c r="BB30" s="1028"/>
    </row>
    <row r="31" spans="2:54" ht="15" hidden="1" customHeight="1">
      <c r="B31" s="266"/>
      <c r="C31" s="39" t="s">
        <v>669</v>
      </c>
      <c r="D31" s="251" t="s">
        <v>670</v>
      </c>
      <c r="E31" s="252"/>
      <c r="F31" s="253"/>
      <c r="G31" s="254"/>
      <c r="H31" s="255"/>
      <c r="I31" s="256"/>
      <c r="J31" s="254"/>
      <c r="K31" s="255"/>
      <c r="L31" s="256"/>
      <c r="M31" s="254"/>
      <c r="N31" s="255"/>
      <c r="O31" s="256"/>
      <c r="P31" s="254"/>
      <c r="Q31" s="255"/>
      <c r="R31" s="256"/>
      <c r="S31" s="254"/>
      <c r="T31" s="255"/>
      <c r="U31" s="256"/>
      <c r="V31" s="254"/>
      <c r="W31" s="255"/>
      <c r="X31" s="256"/>
      <c r="Y31" s="254"/>
      <c r="Z31" s="255"/>
      <c r="AA31" s="256"/>
      <c r="AB31" s="254"/>
      <c r="AC31" s="255"/>
      <c r="AD31" s="256"/>
      <c r="AE31" s="254"/>
      <c r="AF31" s="255"/>
      <c r="AG31" s="256"/>
      <c r="AH31" s="254"/>
      <c r="AI31" s="255"/>
      <c r="AJ31" s="1000"/>
      <c r="AK31" s="1015"/>
      <c r="AL31" s="1011"/>
      <c r="AM31" s="1000"/>
      <c r="AN31" s="1015"/>
      <c r="AO31" s="1011"/>
      <c r="AP31" s="256"/>
      <c r="AQ31" s="772"/>
      <c r="AR31" s="255"/>
      <c r="AS31" s="256"/>
      <c r="AT31" s="254"/>
      <c r="AU31" s="255"/>
      <c r="AV31" s="1000"/>
      <c r="AW31" s="254"/>
      <c r="AX31" s="255"/>
      <c r="AY31" s="256"/>
      <c r="AZ31" s="1080"/>
      <c r="BA31" s="255"/>
      <c r="BB31" s="1028"/>
    </row>
    <row r="32" spans="2:54" ht="15" hidden="1" customHeight="1">
      <c r="B32" s="266"/>
      <c r="C32" s="15" t="s">
        <v>675</v>
      </c>
      <c r="D32" s="251" t="s">
        <v>606</v>
      </c>
      <c r="E32" s="252"/>
      <c r="F32" s="253"/>
      <c r="G32" s="269">
        <f t="shared" ref="G32:BB32" si="33">(G33*G34*12)/1000</f>
        <v>0</v>
      </c>
      <c r="H32" s="270">
        <f t="shared" si="33"/>
        <v>0</v>
      </c>
      <c r="I32" s="271">
        <f t="shared" si="33"/>
        <v>0</v>
      </c>
      <c r="J32" s="269">
        <f t="shared" si="33"/>
        <v>0</v>
      </c>
      <c r="K32" s="270">
        <f t="shared" si="33"/>
        <v>0</v>
      </c>
      <c r="L32" s="271">
        <f t="shared" si="33"/>
        <v>0</v>
      </c>
      <c r="M32" s="269">
        <f t="shared" si="33"/>
        <v>0</v>
      </c>
      <c r="N32" s="270">
        <f t="shared" si="33"/>
        <v>0</v>
      </c>
      <c r="O32" s="271">
        <f t="shared" si="33"/>
        <v>0</v>
      </c>
      <c r="P32" s="269">
        <f t="shared" si="33"/>
        <v>0</v>
      </c>
      <c r="Q32" s="270">
        <f t="shared" si="33"/>
        <v>0</v>
      </c>
      <c r="R32" s="271">
        <f t="shared" si="33"/>
        <v>0</v>
      </c>
      <c r="S32" s="269">
        <f t="shared" si="33"/>
        <v>0</v>
      </c>
      <c r="T32" s="270">
        <f t="shared" si="33"/>
        <v>0</v>
      </c>
      <c r="U32" s="271">
        <f t="shared" si="33"/>
        <v>0</v>
      </c>
      <c r="V32" s="269">
        <f t="shared" si="33"/>
        <v>0</v>
      </c>
      <c r="W32" s="270">
        <f t="shared" si="33"/>
        <v>0</v>
      </c>
      <c r="X32" s="271">
        <f t="shared" si="33"/>
        <v>0</v>
      </c>
      <c r="Y32" s="269">
        <f t="shared" si="33"/>
        <v>0</v>
      </c>
      <c r="Z32" s="270">
        <f t="shared" si="33"/>
        <v>0</v>
      </c>
      <c r="AA32" s="271">
        <f t="shared" si="33"/>
        <v>0</v>
      </c>
      <c r="AB32" s="269">
        <f t="shared" si="33"/>
        <v>0</v>
      </c>
      <c r="AC32" s="270">
        <f t="shared" si="33"/>
        <v>0</v>
      </c>
      <c r="AD32" s="271">
        <f t="shared" si="33"/>
        <v>0</v>
      </c>
      <c r="AE32" s="269"/>
      <c r="AF32" s="270">
        <f>(AF33*AF34*12)/1000</f>
        <v>0</v>
      </c>
      <c r="AG32" s="271">
        <f>(AG33*AG34*12)/1000</f>
        <v>0</v>
      </c>
      <c r="AH32" s="269">
        <f t="shared" si="33"/>
        <v>0</v>
      </c>
      <c r="AI32" s="270">
        <f t="shared" si="33"/>
        <v>0</v>
      </c>
      <c r="AJ32" s="1003">
        <f t="shared" si="33"/>
        <v>0</v>
      </c>
      <c r="AK32" s="269"/>
      <c r="AL32" s="270"/>
      <c r="AM32" s="1003"/>
      <c r="AN32" s="269"/>
      <c r="AO32" s="270"/>
      <c r="AP32" s="271"/>
      <c r="AQ32" s="1008">
        <f t="shared" si="33"/>
        <v>0</v>
      </c>
      <c r="AR32" s="270">
        <f t="shared" si="33"/>
        <v>0</v>
      </c>
      <c r="AS32" s="271">
        <f t="shared" si="33"/>
        <v>0</v>
      </c>
      <c r="AT32" s="269">
        <f t="shared" si="33"/>
        <v>0</v>
      </c>
      <c r="AU32" s="270">
        <f t="shared" si="33"/>
        <v>0</v>
      </c>
      <c r="AV32" s="1003">
        <f t="shared" si="33"/>
        <v>0</v>
      </c>
      <c r="AW32" s="269">
        <f t="shared" si="33"/>
        <v>0</v>
      </c>
      <c r="AX32" s="270">
        <f t="shared" si="33"/>
        <v>0</v>
      </c>
      <c r="AY32" s="271">
        <f t="shared" si="33"/>
        <v>0</v>
      </c>
      <c r="AZ32" s="1081">
        <f t="shared" si="33"/>
        <v>0</v>
      </c>
      <c r="BA32" s="270">
        <f t="shared" si="33"/>
        <v>0</v>
      </c>
      <c r="BB32" s="1032">
        <f t="shared" si="33"/>
        <v>0</v>
      </c>
    </row>
    <row r="33" spans="2:54" ht="15" hidden="1" customHeight="1">
      <c r="B33" s="266"/>
      <c r="C33" s="39" t="s">
        <v>667</v>
      </c>
      <c r="D33" s="251" t="s">
        <v>668</v>
      </c>
      <c r="E33" s="252"/>
      <c r="F33" s="253"/>
      <c r="G33" s="254"/>
      <c r="H33" s="255"/>
      <c r="I33" s="256"/>
      <c r="J33" s="254"/>
      <c r="K33" s="255"/>
      <c r="L33" s="256"/>
      <c r="M33" s="254"/>
      <c r="N33" s="255"/>
      <c r="O33" s="256"/>
      <c r="P33" s="254"/>
      <c r="Q33" s="255"/>
      <c r="R33" s="256"/>
      <c r="S33" s="254"/>
      <c r="T33" s="255"/>
      <c r="U33" s="256"/>
      <c r="V33" s="254"/>
      <c r="W33" s="255"/>
      <c r="X33" s="256"/>
      <c r="Y33" s="254"/>
      <c r="Z33" s="255"/>
      <c r="AA33" s="256"/>
      <c r="AB33" s="254"/>
      <c r="AC33" s="255"/>
      <c r="AD33" s="256"/>
      <c r="AE33" s="254"/>
      <c r="AF33" s="255"/>
      <c r="AG33" s="256"/>
      <c r="AH33" s="254"/>
      <c r="AI33" s="255"/>
      <c r="AJ33" s="1000"/>
      <c r="AK33" s="1015"/>
      <c r="AL33" s="1011"/>
      <c r="AM33" s="1000"/>
      <c r="AN33" s="1015"/>
      <c r="AO33" s="1011"/>
      <c r="AP33" s="256"/>
      <c r="AQ33" s="772"/>
      <c r="AR33" s="255"/>
      <c r="AS33" s="256"/>
      <c r="AT33" s="254"/>
      <c r="AU33" s="255"/>
      <c r="AV33" s="1000"/>
      <c r="AW33" s="254"/>
      <c r="AX33" s="255"/>
      <c r="AY33" s="256"/>
      <c r="AZ33" s="1080"/>
      <c r="BA33" s="255"/>
      <c r="BB33" s="1028"/>
    </row>
    <row r="34" spans="2:54" ht="15" hidden="1" customHeight="1">
      <c r="B34" s="266"/>
      <c r="C34" s="39" t="s">
        <v>669</v>
      </c>
      <c r="D34" s="251" t="s">
        <v>670</v>
      </c>
      <c r="E34" s="252"/>
      <c r="F34" s="253"/>
      <c r="G34" s="254"/>
      <c r="H34" s="255"/>
      <c r="I34" s="256"/>
      <c r="J34" s="254"/>
      <c r="K34" s="255"/>
      <c r="L34" s="256"/>
      <c r="M34" s="254"/>
      <c r="N34" s="255"/>
      <c r="O34" s="256"/>
      <c r="P34" s="254"/>
      <c r="Q34" s="255"/>
      <c r="R34" s="256"/>
      <c r="S34" s="254"/>
      <c r="T34" s="255"/>
      <c r="U34" s="256"/>
      <c r="V34" s="254"/>
      <c r="W34" s="255"/>
      <c r="X34" s="256"/>
      <c r="Y34" s="254"/>
      <c r="Z34" s="255"/>
      <c r="AA34" s="256"/>
      <c r="AB34" s="254"/>
      <c r="AC34" s="255"/>
      <c r="AD34" s="256"/>
      <c r="AE34" s="254"/>
      <c r="AF34" s="255"/>
      <c r="AG34" s="256"/>
      <c r="AH34" s="254"/>
      <c r="AI34" s="255"/>
      <c r="AJ34" s="1000"/>
      <c r="AK34" s="1015"/>
      <c r="AL34" s="1011"/>
      <c r="AM34" s="1000"/>
      <c r="AN34" s="1015"/>
      <c r="AO34" s="1011"/>
      <c r="AP34" s="256"/>
      <c r="AQ34" s="772"/>
      <c r="AR34" s="255"/>
      <c r="AS34" s="256"/>
      <c r="AT34" s="254"/>
      <c r="AU34" s="255"/>
      <c r="AV34" s="1000"/>
      <c r="AW34" s="254"/>
      <c r="AX34" s="255"/>
      <c r="AY34" s="256"/>
      <c r="AZ34" s="1080"/>
      <c r="BA34" s="255"/>
      <c r="BB34" s="1028"/>
    </row>
    <row r="35" spans="2:54" ht="42">
      <c r="B35" s="251" t="s">
        <v>202</v>
      </c>
      <c r="C35" s="164" t="s">
        <v>262</v>
      </c>
      <c r="D35" s="251" t="s">
        <v>22</v>
      </c>
      <c r="E35" s="257">
        <f t="shared" ref="E35:P35" si="34">E36*E16</f>
        <v>0</v>
      </c>
      <c r="F35" s="258">
        <f t="shared" si="34"/>
        <v>0</v>
      </c>
      <c r="G35" s="263">
        <f t="shared" si="34"/>
        <v>12305.801244480001</v>
      </c>
      <c r="H35" s="264">
        <f t="shared" si="34"/>
        <v>6079.0658147731201</v>
      </c>
      <c r="I35" s="265">
        <f t="shared" si="34"/>
        <v>4644.2093896667529</v>
      </c>
      <c r="J35" s="263">
        <f t="shared" si="34"/>
        <v>11734.563339999999</v>
      </c>
      <c r="K35" s="264">
        <f t="shared" si="34"/>
        <v>6606.559160419999</v>
      </c>
      <c r="L35" s="265">
        <f t="shared" si="34"/>
        <v>3989.7515355999999</v>
      </c>
      <c r="M35" s="263">
        <f t="shared" si="34"/>
        <v>12847.256368</v>
      </c>
      <c r="N35" s="264">
        <f t="shared" si="34"/>
        <v>7233.0053351839997</v>
      </c>
      <c r="O35" s="265">
        <f t="shared" si="34"/>
        <v>4368.06716512</v>
      </c>
      <c r="P35" s="263">
        <f t="shared" si="34"/>
        <v>12597.61139</v>
      </c>
      <c r="Q35" s="264">
        <f>Q16*Q36</f>
        <v>7054.6623784000012</v>
      </c>
      <c r="R35" s="265">
        <f>R16*R36</f>
        <v>3950.6099799999997</v>
      </c>
      <c r="S35" s="263">
        <f>M35*S2</f>
        <v>13227.535156492801</v>
      </c>
      <c r="T35" s="264">
        <f>S35*S57</f>
        <v>7447.1022931054458</v>
      </c>
      <c r="U35" s="265">
        <f>S35*T58</f>
        <v>4497.3619532075527</v>
      </c>
      <c r="V35" s="263">
        <f>V16*0.302</f>
        <v>14884.036779999999</v>
      </c>
      <c r="W35" s="264">
        <f>W16*0.302</f>
        <v>7370.2879008480004</v>
      </c>
      <c r="X35" s="265">
        <f>V35*W58</f>
        <v>5060.5725051999998</v>
      </c>
      <c r="Y35" s="263">
        <f>S35*Z2</f>
        <v>13579.784417710203</v>
      </c>
      <c r="Z35" s="264">
        <f>Y35*Z57</f>
        <v>7645.418627170844</v>
      </c>
      <c r="AA35" s="265">
        <f>Y35*Z58</f>
        <v>4617.1267020214691</v>
      </c>
      <c r="AB35" s="263">
        <f t="shared" ref="AB35:BB35" si="35">AB16*0.302</f>
        <v>15628.238213112001</v>
      </c>
      <c r="AC35" s="264">
        <f t="shared" si="35"/>
        <v>7657.8367244248793</v>
      </c>
      <c r="AD35" s="264">
        <f t="shared" si="35"/>
        <v>5313.6009924580803</v>
      </c>
      <c r="AE35" s="263">
        <f>AF35+AG35</f>
        <v>14310.162</v>
      </c>
      <c r="AF35" s="264">
        <v>8280.5030000000006</v>
      </c>
      <c r="AG35" s="264">
        <v>6029.6589999999997</v>
      </c>
      <c r="AH35" s="263">
        <f t="shared" si="35"/>
        <v>13327.761320000001</v>
      </c>
      <c r="AI35" s="264">
        <f>AI16*0.302</f>
        <v>7801.6173399999989</v>
      </c>
      <c r="AJ35" s="1002">
        <f t="shared" si="35"/>
        <v>5526.1439800000007</v>
      </c>
      <c r="AK35" s="263"/>
      <c r="AL35" s="264">
        <v>10246.23</v>
      </c>
      <c r="AM35" s="1002">
        <v>7726.59</v>
      </c>
      <c r="AN35" s="263"/>
      <c r="AO35" s="264">
        <f>AO16*0.302</f>
        <v>8034.1059999999998</v>
      </c>
      <c r="AP35" s="265">
        <v>5657.11</v>
      </c>
      <c r="AQ35" s="999">
        <f t="shared" si="35"/>
        <v>0</v>
      </c>
      <c r="AR35" s="264">
        <f t="shared" si="35"/>
        <v>11305.732399999999</v>
      </c>
      <c r="AS35" s="265">
        <f t="shared" si="35"/>
        <v>8547.7173999999995</v>
      </c>
      <c r="AT35" s="263">
        <f t="shared" si="35"/>
        <v>20647.589</v>
      </c>
      <c r="AU35" s="264">
        <f>AU16*0.302</f>
        <v>11757.962299999999</v>
      </c>
      <c r="AV35" s="1002">
        <f t="shared" si="35"/>
        <v>8889.6266999999989</v>
      </c>
      <c r="AW35" s="1030">
        <f t="shared" si="35"/>
        <v>0</v>
      </c>
      <c r="AX35" s="264">
        <f t="shared" si="35"/>
        <v>11993.120639999999</v>
      </c>
      <c r="AY35" s="1031">
        <f>AY16*0.302</f>
        <v>9245.2135799999996</v>
      </c>
      <c r="AZ35" s="1082">
        <f t="shared" si="35"/>
        <v>21848.00578</v>
      </c>
      <c r="BA35" s="264">
        <f t="shared" si="35"/>
        <v>12232.984139999999</v>
      </c>
      <c r="BB35" s="1031">
        <f t="shared" si="35"/>
        <v>9615.021639999999</v>
      </c>
    </row>
    <row r="36" spans="2:54">
      <c r="B36" s="251"/>
      <c r="C36" s="39" t="s">
        <v>676</v>
      </c>
      <c r="D36" s="251" t="s">
        <v>353</v>
      </c>
      <c r="E36" s="276"/>
      <c r="F36" s="277"/>
      <c r="G36" s="278">
        <v>0.30199999999999999</v>
      </c>
      <c r="H36" s="278">
        <v>0.30199999999999999</v>
      </c>
      <c r="I36" s="278">
        <v>0.30199999999999999</v>
      </c>
      <c r="J36" s="278">
        <v>0.30199999999999999</v>
      </c>
      <c r="K36" s="278">
        <v>0.30199999999999999</v>
      </c>
      <c r="L36" s="278">
        <v>0.30199999999999999</v>
      </c>
      <c r="M36" s="278">
        <v>0.30199999999999999</v>
      </c>
      <c r="N36" s="278">
        <v>0.30199999999999999</v>
      </c>
      <c r="O36" s="278">
        <v>0.30199999999999999</v>
      </c>
      <c r="P36" s="278">
        <v>0.30199999999999999</v>
      </c>
      <c r="Q36" s="278">
        <v>0.30199999999999999</v>
      </c>
      <c r="R36" s="278">
        <v>0.30199999999999999</v>
      </c>
      <c r="S36" s="279">
        <v>30.2</v>
      </c>
      <c r="T36" s="279">
        <v>30.2</v>
      </c>
      <c r="U36" s="279">
        <v>30.2</v>
      </c>
      <c r="V36" s="279">
        <v>30.2</v>
      </c>
      <c r="W36" s="279">
        <v>30.2</v>
      </c>
      <c r="X36" s="279">
        <v>30.2</v>
      </c>
      <c r="Y36" s="279">
        <v>30.2</v>
      </c>
      <c r="Z36" s="279">
        <v>30.2</v>
      </c>
      <c r="AA36" s="279">
        <v>30.2</v>
      </c>
      <c r="AB36" s="279">
        <v>30.2</v>
      </c>
      <c r="AC36" s="279">
        <v>30.2</v>
      </c>
      <c r="AD36" s="279">
        <v>30.2</v>
      </c>
      <c r="AE36" s="279"/>
      <c r="AF36" s="279">
        <v>30.2</v>
      </c>
      <c r="AG36" s="279">
        <v>30.2</v>
      </c>
      <c r="AH36" s="279">
        <v>30.2</v>
      </c>
      <c r="AI36" s="279">
        <v>30.2</v>
      </c>
      <c r="AJ36" s="1004">
        <v>30.2</v>
      </c>
      <c r="AK36" s="279"/>
      <c r="AL36" s="255">
        <v>30.2</v>
      </c>
      <c r="AM36" s="1019">
        <v>30.2</v>
      </c>
      <c r="AN36" s="279"/>
      <c r="AO36" s="255">
        <v>30.2</v>
      </c>
      <c r="AP36" s="1016">
        <v>30.2</v>
      </c>
      <c r="AQ36" s="1009"/>
      <c r="AR36" s="279">
        <v>30.2</v>
      </c>
      <c r="AS36" s="279">
        <v>30.2</v>
      </c>
      <c r="AT36" s="1004"/>
      <c r="AU36" s="1029">
        <v>30.2</v>
      </c>
      <c r="AV36" s="1079">
        <v>30.2</v>
      </c>
      <c r="AW36" s="1004">
        <v>30.2</v>
      </c>
      <c r="AX36" s="1029">
        <v>30.2</v>
      </c>
      <c r="AY36" s="1085">
        <v>30.2</v>
      </c>
      <c r="AZ36" s="1079">
        <v>30.2</v>
      </c>
      <c r="BA36" s="1029">
        <v>30.2</v>
      </c>
      <c r="BB36" s="1009">
        <v>30.2</v>
      </c>
    </row>
    <row r="37" spans="2:54">
      <c r="B37" s="251"/>
      <c r="C37" s="39" t="s">
        <v>677</v>
      </c>
      <c r="D37" s="251" t="s">
        <v>668</v>
      </c>
      <c r="E37" s="280">
        <f>E18+E21+E24+E27+E30</f>
        <v>0</v>
      </c>
      <c r="F37" s="281">
        <f>F18+F21+F24+F27+F30</f>
        <v>0</v>
      </c>
      <c r="G37" s="254">
        <f t="shared" ref="G37:O37" si="36">G18+G21+G24+G27+G30+G33</f>
        <v>68</v>
      </c>
      <c r="H37" s="255">
        <f t="shared" si="36"/>
        <v>33.591999999999999</v>
      </c>
      <c r="I37" s="256">
        <f t="shared" si="36"/>
        <v>25.6632</v>
      </c>
      <c r="J37" s="254">
        <f t="shared" si="36"/>
        <v>69</v>
      </c>
      <c r="K37" s="255">
        <f t="shared" si="36"/>
        <v>38.846999999999994</v>
      </c>
      <c r="L37" s="256">
        <f t="shared" si="36"/>
        <v>23.46</v>
      </c>
      <c r="M37" s="254">
        <f t="shared" si="36"/>
        <v>68</v>
      </c>
      <c r="N37" s="255">
        <f t="shared" si="36"/>
        <v>38.283999999999999</v>
      </c>
      <c r="O37" s="256">
        <f t="shared" si="36"/>
        <v>24</v>
      </c>
      <c r="P37" s="254">
        <v>68</v>
      </c>
      <c r="Q37" s="255">
        <f>P37*$Q$57</f>
        <v>38.080000000000005</v>
      </c>
      <c r="R37" s="256">
        <f>P37*$Q$58</f>
        <v>23.12</v>
      </c>
      <c r="S37" s="254">
        <f>S18+S21+S24+S27+S30+S33</f>
        <v>68</v>
      </c>
      <c r="T37" s="255">
        <f>S37*T57</f>
        <v>38.283999999999999</v>
      </c>
      <c r="U37" s="256">
        <f>S37*T58</f>
        <v>23.12</v>
      </c>
      <c r="V37" s="254">
        <f>V18+V21+V24+V27+V30+V33</f>
        <v>83</v>
      </c>
      <c r="W37" s="255">
        <v>41</v>
      </c>
      <c r="X37" s="256">
        <f>V37*W58</f>
        <v>28.220000000000002</v>
      </c>
      <c r="Y37" s="254">
        <f>Y18+Y21+Y24+Y27+Y30+Y33</f>
        <v>68</v>
      </c>
      <c r="Z37" s="255">
        <f>Y37*$Z$57</f>
        <v>38.283999999999999</v>
      </c>
      <c r="AA37" s="256">
        <f>Y37*$Z$58</f>
        <v>23.12</v>
      </c>
      <c r="AB37" s="254">
        <f>AB18+AB21+AB24+AB27+AB30+AB33</f>
        <v>83</v>
      </c>
      <c r="AC37" s="255">
        <v>40.67</v>
      </c>
      <c r="AD37" s="256">
        <f>AB37*$Z$58</f>
        <v>28.220000000000002</v>
      </c>
      <c r="AE37" s="254"/>
      <c r="AF37" s="255">
        <f>AF18</f>
        <v>44</v>
      </c>
      <c r="AG37" s="256">
        <f>AG18</f>
        <v>32</v>
      </c>
      <c r="AH37" s="254">
        <f t="shared" ref="AH37:BB37" si="37">AH18+AH21+AH24+AH27+AH30+AH33</f>
        <v>68.06</v>
      </c>
      <c r="AI37" s="255">
        <f t="shared" si="37"/>
        <v>39.840000000000003</v>
      </c>
      <c r="AJ37" s="1000">
        <f t="shared" si="37"/>
        <v>28.22</v>
      </c>
      <c r="AK37" s="1015"/>
      <c r="AL37" s="255">
        <v>48.83</v>
      </c>
      <c r="AM37" s="1000">
        <v>36.85</v>
      </c>
      <c r="AN37" s="1015"/>
      <c r="AO37" s="255">
        <v>39.840000000000003</v>
      </c>
      <c r="AP37" s="256">
        <v>28.22</v>
      </c>
      <c r="AQ37" s="772"/>
      <c r="AR37" s="255">
        <f t="shared" si="37"/>
        <v>48.38</v>
      </c>
      <c r="AS37" s="256">
        <f t="shared" si="37"/>
        <v>36.85</v>
      </c>
      <c r="AT37" s="1026"/>
      <c r="AU37" s="255">
        <f t="shared" si="37"/>
        <v>48.38</v>
      </c>
      <c r="AV37" s="1077">
        <f t="shared" si="37"/>
        <v>36.85</v>
      </c>
      <c r="AW37" s="1026">
        <f t="shared" si="37"/>
        <v>0</v>
      </c>
      <c r="AX37" s="255">
        <f>AX18+AX21+AX24+AX27+AX30+AX33</f>
        <v>48.38</v>
      </c>
      <c r="AY37" s="1028">
        <f t="shared" si="37"/>
        <v>36.85</v>
      </c>
      <c r="AZ37" s="1080">
        <f t="shared" si="37"/>
        <v>0</v>
      </c>
      <c r="BA37" s="255">
        <f t="shared" si="37"/>
        <v>48.38</v>
      </c>
      <c r="BB37" s="1028">
        <f t="shared" si="37"/>
        <v>36.85</v>
      </c>
    </row>
    <row r="38" spans="2:54" ht="16.5">
      <c r="B38" s="251" t="s">
        <v>579</v>
      </c>
      <c r="C38" s="282" t="s">
        <v>878</v>
      </c>
      <c r="D38" s="251" t="s">
        <v>22</v>
      </c>
      <c r="E38" s="283"/>
      <c r="F38" s="284"/>
      <c r="G38" s="259">
        <v>11.55</v>
      </c>
      <c r="H38" s="181">
        <f>G38*B57</f>
        <v>5.7057000000000002</v>
      </c>
      <c r="I38" s="260">
        <f>G38*B58</f>
        <v>4.3589700000000002</v>
      </c>
      <c r="J38" s="259">
        <v>39.5</v>
      </c>
      <c r="K38" s="181">
        <f>J38*K57</f>
        <v>22.238499999999998</v>
      </c>
      <c r="L38" s="260">
        <f>J38*L58</f>
        <v>13.430000000000001</v>
      </c>
      <c r="M38" s="254">
        <v>12.04</v>
      </c>
      <c r="N38" s="255">
        <f>M38*$N$57</f>
        <v>6.7785199999999985</v>
      </c>
      <c r="O38" s="256">
        <f>M38*$O$58</f>
        <v>4.0936000000000003</v>
      </c>
      <c r="P38" s="254">
        <v>30.72</v>
      </c>
      <c r="Q38" s="255">
        <v>17.2</v>
      </c>
      <c r="R38" s="256">
        <v>10.44</v>
      </c>
      <c r="S38" s="254">
        <f>M38*$S$2</f>
        <v>12.396383999999999</v>
      </c>
      <c r="T38" s="255">
        <f>S38*$T$57</f>
        <v>6.9791641919999989</v>
      </c>
      <c r="U38" s="256">
        <f>S38*$T$58</f>
        <v>4.2147705599999998</v>
      </c>
      <c r="V38" s="254"/>
      <c r="W38" s="255">
        <f>V38*$W$57</f>
        <v>0</v>
      </c>
      <c r="X38" s="256">
        <f>V38*$W$58</f>
        <v>0</v>
      </c>
      <c r="Y38" s="285">
        <f>S38*$Z$2</f>
        <v>12.726499705919998</v>
      </c>
      <c r="Z38" s="255">
        <f t="shared" ref="Z38:Z44" si="38">Y38*$Z$57</f>
        <v>7.1650193344329587</v>
      </c>
      <c r="AA38" s="256">
        <f t="shared" ref="AA38:AA45" si="39">Y38*$Z$58</f>
        <v>4.3270099000127997</v>
      </c>
      <c r="AB38" s="285"/>
      <c r="AC38" s="255"/>
      <c r="AD38" s="256"/>
      <c r="AE38" s="285">
        <f>13.55+18.609+0.703+0.512+472.23</f>
        <v>505.60400000000004</v>
      </c>
      <c r="AF38" s="255">
        <f>AE38*$AF$57</f>
        <v>238.13948400000001</v>
      </c>
      <c r="AG38" s="256">
        <f>AE38*$AF$58</f>
        <v>177.467004</v>
      </c>
      <c r="AH38" s="285">
        <f>AE38*$AH$2</f>
        <v>525.82816000000003</v>
      </c>
      <c r="AI38" s="286"/>
      <c r="AJ38" s="1005">
        <v>0</v>
      </c>
      <c r="AK38" s="285"/>
      <c r="AL38" s="1020">
        <f>'К ВС'!S157</f>
        <v>23.018000000000001</v>
      </c>
      <c r="AM38" s="1005">
        <v>20.29</v>
      </c>
      <c r="AN38" s="285"/>
      <c r="AO38" s="1020"/>
      <c r="AP38" s="287"/>
      <c r="AQ38" s="1010"/>
      <c r="AR38" s="255">
        <f>AQ38*$AR$57</f>
        <v>0</v>
      </c>
      <c r="AS38" s="256">
        <v>20.9</v>
      </c>
      <c r="AT38" s="1027"/>
      <c r="AU38" s="255">
        <f>AT38*$AU$57</f>
        <v>0</v>
      </c>
      <c r="AV38" s="1077">
        <v>21.53</v>
      </c>
      <c r="AW38" s="1027">
        <f>AT38*AW2</f>
        <v>0</v>
      </c>
      <c r="AX38" s="255">
        <f>AW38*$AX$57</f>
        <v>0</v>
      </c>
      <c r="AY38" s="1028">
        <f>AW38*$AX$58</f>
        <v>0</v>
      </c>
      <c r="AZ38" s="1083">
        <f>AW38*1.04</f>
        <v>0</v>
      </c>
      <c r="BA38" s="255">
        <f>AZ38*$BA$57</f>
        <v>0</v>
      </c>
      <c r="BB38" s="1028">
        <f>AZ38*$BA$58</f>
        <v>0</v>
      </c>
    </row>
    <row r="39" spans="2:54">
      <c r="B39" s="251" t="s">
        <v>582</v>
      </c>
      <c r="C39" s="15" t="s">
        <v>265</v>
      </c>
      <c r="D39" s="251" t="s">
        <v>22</v>
      </c>
      <c r="E39" s="283"/>
      <c r="F39" s="284"/>
      <c r="G39" s="254">
        <v>527.5</v>
      </c>
      <c r="H39" s="255">
        <f>G39*$B$57</f>
        <v>260.58499999999998</v>
      </c>
      <c r="I39" s="256">
        <f>G39*$B$58</f>
        <v>199.07850000000002</v>
      </c>
      <c r="J39" s="254">
        <v>1054.2</v>
      </c>
      <c r="K39" s="255">
        <f>J39*$B$57</f>
        <v>520.77480000000003</v>
      </c>
      <c r="L39" s="256">
        <f>J39*$B$58</f>
        <v>397.85508000000004</v>
      </c>
      <c r="M39" s="254">
        <v>541.73</v>
      </c>
      <c r="N39" s="255">
        <f t="shared" ref="N39:N46" si="40">M39*$N$57</f>
        <v>304.99399</v>
      </c>
      <c r="O39" s="256">
        <f t="shared" ref="O39:O46" si="41">M39*$O$58</f>
        <v>184.18820000000002</v>
      </c>
      <c r="P39" s="254">
        <v>1462.2</v>
      </c>
      <c r="Q39" s="255">
        <v>818.83</v>
      </c>
      <c r="R39" s="256">
        <f t="shared" ref="R39:R46" si="42">P39*$Q$58</f>
        <v>497.14800000000002</v>
      </c>
      <c r="S39" s="254">
        <f t="shared" ref="S39:S46" si="43">M39*$S$2</f>
        <v>557.76520800000003</v>
      </c>
      <c r="T39" s="255">
        <f t="shared" ref="T39:T46" si="44">S39*$T$57</f>
        <v>314.02181210399999</v>
      </c>
      <c r="U39" s="256">
        <f t="shared" ref="U39:U46" si="45">S39*$T$58</f>
        <v>189.64017072000001</v>
      </c>
      <c r="V39" s="254">
        <v>542.98599999999999</v>
      </c>
      <c r="W39" s="255">
        <f t="shared" ref="W39:W46" si="46">V39*$W$57</f>
        <v>260.63328000000001</v>
      </c>
      <c r="X39" s="256">
        <f t="shared" ref="X39:X46" si="47">V39*$W$58</f>
        <v>184.61524</v>
      </c>
      <c r="Y39" s="285">
        <f t="shared" ref="Y39:Y45" si="48">S39*$Z$2</f>
        <v>572.61849548904001</v>
      </c>
      <c r="Z39" s="255">
        <f t="shared" si="38"/>
        <v>322.38421296032948</v>
      </c>
      <c r="AA39" s="256">
        <f t="shared" si="39"/>
        <v>194.69028846627361</v>
      </c>
      <c r="AB39" s="285">
        <f>25.27*12+0.6*12+22*12</f>
        <v>574.44000000000005</v>
      </c>
      <c r="AC39" s="255">
        <f>AB39*$AC$57</f>
        <v>275.7312</v>
      </c>
      <c r="AD39" s="256">
        <f t="shared" ref="AD39:AD46" si="49">AB39*$AC$58</f>
        <v>195.30960000000005</v>
      </c>
      <c r="AE39" s="285">
        <f>1670.36+133.91+178.864+24.39+172.5+17.664</f>
        <v>2197.6880000000006</v>
      </c>
      <c r="AF39" s="255">
        <f>AE39*$AF$57</f>
        <v>1035.1110480000002</v>
      </c>
      <c r="AG39" s="256">
        <f>AE39*$AF$58</f>
        <v>771.38848800000017</v>
      </c>
      <c r="AH39" s="285">
        <f t="shared" ref="AH39:AH46" si="50">AE39*$AH$2</f>
        <v>2285.5955200000008</v>
      </c>
      <c r="AI39" s="255">
        <v>0</v>
      </c>
      <c r="AJ39" s="1000">
        <v>0</v>
      </c>
      <c r="AK39" s="1015"/>
      <c r="AL39" s="255">
        <v>1781.09</v>
      </c>
      <c r="AM39" s="1000">
        <v>1440.71</v>
      </c>
      <c r="AN39" s="1015"/>
      <c r="AO39" s="255">
        <v>0</v>
      </c>
      <c r="AP39" s="256"/>
      <c r="AQ39" s="772"/>
      <c r="AR39" s="255">
        <v>1959.2</v>
      </c>
      <c r="AS39" s="256">
        <v>1483.93</v>
      </c>
      <c r="AT39" s="254"/>
      <c r="AU39" s="255">
        <v>2017.98</v>
      </c>
      <c r="AV39" s="1000">
        <v>1528.45</v>
      </c>
      <c r="AW39" s="1026">
        <f>AT39*$AW$2</f>
        <v>0</v>
      </c>
      <c r="AX39" s="255">
        <f>AU39*$AX$2</f>
        <v>2078.5194000000001</v>
      </c>
      <c r="AY39" s="1028">
        <v>1574.3</v>
      </c>
      <c r="AZ39" s="1080">
        <f>AW39*$AZ$2</f>
        <v>0</v>
      </c>
      <c r="BA39" s="255">
        <f>AX39*$BA$2</f>
        <v>2140.8749820000003</v>
      </c>
      <c r="BB39" s="1028">
        <v>1621.53</v>
      </c>
    </row>
    <row r="40" spans="2:54">
      <c r="B40" s="251" t="s">
        <v>585</v>
      </c>
      <c r="C40" s="15" t="s">
        <v>267</v>
      </c>
      <c r="D40" s="251" t="s">
        <v>22</v>
      </c>
      <c r="E40" s="283"/>
      <c r="F40" s="284"/>
      <c r="G40" s="254">
        <v>552.4</v>
      </c>
      <c r="H40" s="255">
        <f>G40*$B$57</f>
        <v>272.88560000000001</v>
      </c>
      <c r="I40" s="256">
        <f>G40*$B$58</f>
        <v>208.47576000000001</v>
      </c>
      <c r="J40" s="254">
        <v>1167</v>
      </c>
      <c r="K40" s="255">
        <f>J40*$B$57</f>
        <v>576.49800000000005</v>
      </c>
      <c r="L40" s="256">
        <f>J40*$B$58</f>
        <v>440.42580000000004</v>
      </c>
      <c r="M40" s="254">
        <v>566.76</v>
      </c>
      <c r="N40" s="255">
        <f t="shared" si="40"/>
        <v>319.08587999999997</v>
      </c>
      <c r="O40" s="256">
        <f t="shared" si="41"/>
        <v>192.69840000000002</v>
      </c>
      <c r="P40" s="254">
        <v>1588.12</v>
      </c>
      <c r="Q40" s="255">
        <v>872.55</v>
      </c>
      <c r="R40" s="256">
        <v>529.76</v>
      </c>
      <c r="S40" s="254">
        <f t="shared" si="43"/>
        <v>583.53609600000004</v>
      </c>
      <c r="T40" s="255">
        <f t="shared" si="44"/>
        <v>328.530822048</v>
      </c>
      <c r="U40" s="256">
        <f t="shared" si="45"/>
        <v>198.40227264000004</v>
      </c>
      <c r="V40" s="254">
        <v>93.3</v>
      </c>
      <c r="W40" s="255">
        <f t="shared" si="46"/>
        <v>44.783999999999999</v>
      </c>
      <c r="X40" s="256">
        <f t="shared" si="47"/>
        <v>31.722000000000001</v>
      </c>
      <c r="Y40" s="285">
        <f t="shared" si="48"/>
        <v>599.07566223647996</v>
      </c>
      <c r="Z40" s="255">
        <f t="shared" si="38"/>
        <v>337.27959783913821</v>
      </c>
      <c r="AA40" s="256">
        <f t="shared" si="39"/>
        <v>203.68572516040319</v>
      </c>
      <c r="AB40" s="285">
        <f>4.6*12+35.95*12+34.8*12</f>
        <v>904.2</v>
      </c>
      <c r="AC40" s="255">
        <f t="shared" ref="AC40:AC46" si="51">AB40*$AC$57</f>
        <v>434.01600000000002</v>
      </c>
      <c r="AD40" s="256">
        <f t="shared" si="49"/>
        <v>307.42800000000005</v>
      </c>
      <c r="AE40" s="285">
        <f>305.252+422.06+16.547+17.148+115.27+258.554</f>
        <v>1134.8310000000001</v>
      </c>
      <c r="AF40" s="255">
        <f t="shared" ref="AF40:AF47" si="52">AE40*$AF$57</f>
        <v>534.50540100000001</v>
      </c>
      <c r="AG40" s="256">
        <f t="shared" ref="AG40:AG46" si="53">AE40*$AF$58</f>
        <v>398.32568100000003</v>
      </c>
      <c r="AH40" s="285">
        <f t="shared" si="50"/>
        <v>1180.2242400000002</v>
      </c>
      <c r="AI40" s="255">
        <v>48.11</v>
      </c>
      <c r="AJ40" s="1000">
        <v>34.08</v>
      </c>
      <c r="AK40" s="1015"/>
      <c r="AL40" s="255">
        <v>562.83000000000004</v>
      </c>
      <c r="AM40" s="1000">
        <v>298.17</v>
      </c>
      <c r="AN40" s="1015"/>
      <c r="AO40" s="255">
        <v>49.54</v>
      </c>
      <c r="AP40" s="256">
        <v>34.880000000000003</v>
      </c>
      <c r="AQ40" s="772"/>
      <c r="AR40" s="255">
        <v>579.72</v>
      </c>
      <c r="AS40" s="256">
        <v>307.11</v>
      </c>
      <c r="AT40" s="254"/>
      <c r="AU40" s="255">
        <v>597.11</v>
      </c>
      <c r="AV40" s="1000">
        <v>316.33</v>
      </c>
      <c r="AW40" s="254">
        <f t="shared" ref="AW40:AW46" si="54">AT40*$AW$2</f>
        <v>0</v>
      </c>
      <c r="AX40" s="255">
        <f t="shared" ref="AX40:AX46" si="55">AU40*$AX$2</f>
        <v>615.02330000000006</v>
      </c>
      <c r="AY40" s="256">
        <v>325.82</v>
      </c>
      <c r="AZ40" s="772">
        <f t="shared" ref="AZ40:AZ46" si="56">AW40*$AZ$2</f>
        <v>0</v>
      </c>
      <c r="BA40" s="255">
        <f t="shared" ref="BA40:BA46" si="57">AX40*$BA$2</f>
        <v>633.47399900000005</v>
      </c>
      <c r="BB40" s="256">
        <v>335.59</v>
      </c>
    </row>
    <row r="41" spans="2:54" ht="21">
      <c r="B41" s="251" t="s">
        <v>678</v>
      </c>
      <c r="C41" s="15" t="s">
        <v>269</v>
      </c>
      <c r="D41" s="251" t="s">
        <v>22</v>
      </c>
      <c r="E41" s="283"/>
      <c r="F41" s="284"/>
      <c r="G41" s="254">
        <v>135</v>
      </c>
      <c r="H41" s="255">
        <f>G41*$B$57</f>
        <v>66.69</v>
      </c>
      <c r="I41" s="256">
        <f>G41*$B$58</f>
        <v>50.949000000000005</v>
      </c>
      <c r="J41" s="254">
        <v>96.4</v>
      </c>
      <c r="K41" s="255">
        <f>J41*$B$57</f>
        <v>47.621600000000001</v>
      </c>
      <c r="L41" s="256">
        <f>J41*$B$58</f>
        <v>36.381360000000001</v>
      </c>
      <c r="M41" s="254">
        <v>104.9</v>
      </c>
      <c r="N41" s="255">
        <f t="shared" si="40"/>
        <v>59.058699999999995</v>
      </c>
      <c r="O41" s="256">
        <v>35.39</v>
      </c>
      <c r="P41" s="254">
        <v>166.21</v>
      </c>
      <c r="Q41" s="255">
        <v>93.08</v>
      </c>
      <c r="R41" s="256">
        <f t="shared" si="42"/>
        <v>56.511400000000009</v>
      </c>
      <c r="S41" s="254">
        <f t="shared" si="43"/>
        <v>108.00504000000001</v>
      </c>
      <c r="T41" s="255">
        <f t="shared" si="44"/>
        <v>60.806837520000002</v>
      </c>
      <c r="U41" s="256">
        <f t="shared" si="45"/>
        <v>36.721713600000008</v>
      </c>
      <c r="V41" s="254">
        <f>20.58+47.67+254.6</f>
        <v>322.85000000000002</v>
      </c>
      <c r="W41" s="255">
        <f>V41*$W$57+254.6</f>
        <v>409.56799999999998</v>
      </c>
      <c r="X41" s="256">
        <f>V41*$W$58+47.67</f>
        <v>157.43900000000002</v>
      </c>
      <c r="Y41" s="285">
        <f>S41*$Z$2</f>
        <v>110.8812142152</v>
      </c>
      <c r="Z41" s="255">
        <v>61.94</v>
      </c>
      <c r="AA41" s="256">
        <v>37.409999999999997</v>
      </c>
      <c r="AB41" s="285">
        <f>5.6*12+1.5*12+27</f>
        <v>112.19999999999999</v>
      </c>
      <c r="AC41" s="255">
        <f t="shared" si="51"/>
        <v>53.855999999999995</v>
      </c>
      <c r="AD41" s="256">
        <f t="shared" si="49"/>
        <v>38.147999999999996</v>
      </c>
      <c r="AE41" s="285">
        <f>14.237+55.51+9.351+1.065+1.458+0.26</f>
        <v>81.881</v>
      </c>
      <c r="AF41" s="255">
        <f t="shared" si="52"/>
        <v>38.565950999999998</v>
      </c>
      <c r="AG41" s="256">
        <f t="shared" si="53"/>
        <v>28.740230999999998</v>
      </c>
      <c r="AH41" s="285">
        <f t="shared" si="50"/>
        <v>85.156239999999997</v>
      </c>
      <c r="AI41" s="255">
        <v>56.01</v>
      </c>
      <c r="AJ41" s="1000">
        <v>39.67</v>
      </c>
      <c r="AK41" s="1015"/>
      <c r="AL41" s="255">
        <v>71.84</v>
      </c>
      <c r="AM41" s="1000">
        <v>321.22000000000003</v>
      </c>
      <c r="AN41" s="1015"/>
      <c r="AO41" s="255">
        <v>57.68</v>
      </c>
      <c r="AP41" s="256">
        <v>40.61</v>
      </c>
      <c r="AQ41" s="772"/>
      <c r="AR41" s="255">
        <v>73.989999999999995</v>
      </c>
      <c r="AS41" s="256">
        <v>330.86</v>
      </c>
      <c r="AT41" s="254"/>
      <c r="AU41" s="255">
        <v>76.709999999999994</v>
      </c>
      <c r="AV41" s="1000">
        <v>340.78</v>
      </c>
      <c r="AW41" s="254">
        <f t="shared" si="54"/>
        <v>0</v>
      </c>
      <c r="AX41" s="255">
        <f t="shared" si="55"/>
        <v>79.011299999999991</v>
      </c>
      <c r="AY41" s="256">
        <v>351</v>
      </c>
      <c r="AZ41" s="772">
        <f t="shared" si="56"/>
        <v>0</v>
      </c>
      <c r="BA41" s="255">
        <f t="shared" si="57"/>
        <v>81.381638999999993</v>
      </c>
      <c r="BB41" s="256">
        <v>361.53</v>
      </c>
    </row>
    <row r="42" spans="2:54" ht="21">
      <c r="B42" s="251" t="s">
        <v>679</v>
      </c>
      <c r="C42" s="15" t="s">
        <v>271</v>
      </c>
      <c r="D42" s="251" t="s">
        <v>22</v>
      </c>
      <c r="E42" s="283"/>
      <c r="F42" s="284"/>
      <c r="G42" s="254">
        <v>101.18</v>
      </c>
      <c r="H42" s="255">
        <f>G42*$B$57</f>
        <v>49.98292</v>
      </c>
      <c r="I42" s="256">
        <f>G42*$B$58</f>
        <v>38.185332000000002</v>
      </c>
      <c r="J42" s="254">
        <v>1026</v>
      </c>
      <c r="K42" s="255">
        <f>J42*$B$57</f>
        <v>506.84399999999999</v>
      </c>
      <c r="L42" s="256">
        <f>J42*$B$58</f>
        <v>387.2124</v>
      </c>
      <c r="M42" s="254">
        <v>533.79999999999995</v>
      </c>
      <c r="N42" s="255">
        <f t="shared" si="40"/>
        <v>300.52939999999995</v>
      </c>
      <c r="O42" s="256">
        <f t="shared" si="41"/>
        <v>181.49199999999999</v>
      </c>
      <c r="P42" s="254">
        <v>1457</v>
      </c>
      <c r="Q42" s="255">
        <f>P42*$Q$57</f>
        <v>815.92000000000007</v>
      </c>
      <c r="R42" s="256">
        <f t="shared" si="42"/>
        <v>495.38000000000005</v>
      </c>
      <c r="S42" s="254">
        <f t="shared" si="43"/>
        <v>549.60047999999995</v>
      </c>
      <c r="T42" s="255">
        <f t="shared" si="44"/>
        <v>309.42507023999997</v>
      </c>
      <c r="U42" s="256">
        <f t="shared" si="45"/>
        <v>186.86416320000001</v>
      </c>
      <c r="V42" s="254">
        <v>204.26</v>
      </c>
      <c r="W42" s="255">
        <f t="shared" si="46"/>
        <v>98.044799999999995</v>
      </c>
      <c r="X42" s="256">
        <f t="shared" si="47"/>
        <v>69.448400000000007</v>
      </c>
      <c r="Y42" s="285">
        <f t="shared" si="48"/>
        <v>564.23634078239991</v>
      </c>
      <c r="Z42" s="255">
        <f t="shared" si="38"/>
        <v>317.66505986049111</v>
      </c>
      <c r="AA42" s="256">
        <f t="shared" si="39"/>
        <v>191.84035586601598</v>
      </c>
      <c r="AB42" s="285">
        <f>Y42*1.04</f>
        <v>586.80579441369593</v>
      </c>
      <c r="AC42" s="255">
        <f t="shared" si="51"/>
        <v>281.66678131857401</v>
      </c>
      <c r="AD42" s="256">
        <f t="shared" si="49"/>
        <v>199.51397010065662</v>
      </c>
      <c r="AE42" s="285">
        <f>307.33+258.55+324.52+191.754+527.88+164.952</f>
        <v>1774.9860000000001</v>
      </c>
      <c r="AF42" s="255">
        <f t="shared" si="52"/>
        <v>836.01840600000003</v>
      </c>
      <c r="AG42" s="256">
        <f t="shared" si="53"/>
        <v>623.02008599999999</v>
      </c>
      <c r="AH42" s="285">
        <f t="shared" si="50"/>
        <v>1845.9854400000002</v>
      </c>
      <c r="AI42" s="255">
        <v>105.32</v>
      </c>
      <c r="AJ42" s="1000">
        <v>74.599999999999994</v>
      </c>
      <c r="AK42" s="1015"/>
      <c r="AL42" s="255">
        <v>1285.29</v>
      </c>
      <c r="AM42" s="1000">
        <v>1047.8</v>
      </c>
      <c r="AN42" s="1015"/>
      <c r="AO42" s="255">
        <v>108.46</v>
      </c>
      <c r="AP42" s="256">
        <v>76.37</v>
      </c>
      <c r="AQ42" s="772"/>
      <c r="AR42" s="255">
        <v>1323.84</v>
      </c>
      <c r="AS42" s="256">
        <v>1079.23</v>
      </c>
      <c r="AT42" s="254"/>
      <c r="AU42" s="255">
        <v>1363.56</v>
      </c>
      <c r="AV42" s="1000">
        <v>1111.6099999999999</v>
      </c>
      <c r="AW42" s="254">
        <f t="shared" si="54"/>
        <v>0</v>
      </c>
      <c r="AX42" s="255">
        <f t="shared" si="55"/>
        <v>1404.4667999999999</v>
      </c>
      <c r="AY42" s="256">
        <v>1144.96</v>
      </c>
      <c r="AZ42" s="772">
        <f t="shared" si="56"/>
        <v>0</v>
      </c>
      <c r="BA42" s="255">
        <f t="shared" si="57"/>
        <v>1446.6008039999999</v>
      </c>
      <c r="BB42" s="256">
        <v>1179.31</v>
      </c>
    </row>
    <row r="43" spans="2:54">
      <c r="B43" s="251" t="s">
        <v>324</v>
      </c>
      <c r="C43" s="15" t="s">
        <v>273</v>
      </c>
      <c r="D43" s="251"/>
      <c r="E43" s="283"/>
      <c r="F43" s="284"/>
      <c r="G43" s="254"/>
      <c r="H43" s="255"/>
      <c r="I43" s="256"/>
      <c r="J43" s="254"/>
      <c r="K43" s="255"/>
      <c r="L43" s="256"/>
      <c r="M43" s="254">
        <v>554.80999999999995</v>
      </c>
      <c r="N43" s="255">
        <f t="shared" si="40"/>
        <v>312.35802999999993</v>
      </c>
      <c r="O43" s="256">
        <f t="shared" si="41"/>
        <v>188.6354</v>
      </c>
      <c r="P43" s="254">
        <v>0</v>
      </c>
      <c r="Q43" s="255">
        <f>P43*$Q$57</f>
        <v>0</v>
      </c>
      <c r="R43" s="256">
        <f t="shared" si="42"/>
        <v>0</v>
      </c>
      <c r="S43" s="254">
        <f t="shared" si="43"/>
        <v>571.23237599999993</v>
      </c>
      <c r="T43" s="255">
        <f t="shared" si="44"/>
        <v>321.60382768799991</v>
      </c>
      <c r="U43" s="256">
        <f t="shared" si="45"/>
        <v>194.21900783999999</v>
      </c>
      <c r="V43" s="254">
        <v>351.26</v>
      </c>
      <c r="W43" s="255">
        <f t="shared" si="46"/>
        <v>168.60479999999998</v>
      </c>
      <c r="X43" s="256">
        <f t="shared" si="47"/>
        <v>119.42840000000001</v>
      </c>
      <c r="Y43" s="285">
        <f t="shared" si="48"/>
        <v>586.44429417287984</v>
      </c>
      <c r="Z43" s="255">
        <f t="shared" si="38"/>
        <v>330.16813761933133</v>
      </c>
      <c r="AA43" s="256">
        <f t="shared" si="39"/>
        <v>199.39106001877917</v>
      </c>
      <c r="AB43" s="285">
        <f>64.42*12</f>
        <v>773.04</v>
      </c>
      <c r="AC43" s="255">
        <f t="shared" si="51"/>
        <v>371.05919999999998</v>
      </c>
      <c r="AD43" s="256">
        <f t="shared" si="49"/>
        <v>262.83359999999999</v>
      </c>
      <c r="AE43" s="285">
        <f>795.57+184.439+161.037</f>
        <v>1141.046</v>
      </c>
      <c r="AF43" s="255">
        <f t="shared" si="52"/>
        <v>537.43266600000004</v>
      </c>
      <c r="AG43" s="256">
        <f t="shared" si="53"/>
        <v>400.50714599999998</v>
      </c>
      <c r="AH43" s="285">
        <f t="shared" si="50"/>
        <v>1186.6878400000001</v>
      </c>
      <c r="AI43" s="255">
        <v>181.12</v>
      </c>
      <c r="AJ43" s="1000">
        <v>128.30000000000001</v>
      </c>
      <c r="AK43" s="1015"/>
      <c r="AL43" s="255">
        <v>727.59</v>
      </c>
      <c r="AM43" s="1000">
        <v>419.18</v>
      </c>
      <c r="AN43" s="1015"/>
      <c r="AO43" s="255">
        <v>186.52</v>
      </c>
      <c r="AP43" s="256">
        <v>131.34</v>
      </c>
      <c r="AQ43" s="772"/>
      <c r="AR43" s="255">
        <v>749.42</v>
      </c>
      <c r="AS43" s="256">
        <v>431.76</v>
      </c>
      <c r="AT43" s="254"/>
      <c r="AU43" s="255">
        <v>771.9</v>
      </c>
      <c r="AV43" s="1000">
        <v>444.71</v>
      </c>
      <c r="AW43" s="254">
        <f t="shared" si="54"/>
        <v>0</v>
      </c>
      <c r="AX43" s="255">
        <f t="shared" si="55"/>
        <v>795.05700000000002</v>
      </c>
      <c r="AY43" s="256">
        <v>458.05</v>
      </c>
      <c r="AZ43" s="772">
        <f t="shared" si="56"/>
        <v>0</v>
      </c>
      <c r="BA43" s="255">
        <f t="shared" si="57"/>
        <v>818.90871000000004</v>
      </c>
      <c r="BB43" s="256">
        <v>471.79</v>
      </c>
    </row>
    <row r="44" spans="2:54">
      <c r="B44" s="251" t="s">
        <v>326</v>
      </c>
      <c r="C44" s="15" t="s">
        <v>275</v>
      </c>
      <c r="D44" s="251"/>
      <c r="E44" s="283"/>
      <c r="F44" s="284"/>
      <c r="G44" s="254"/>
      <c r="H44" s="255"/>
      <c r="I44" s="256"/>
      <c r="J44" s="254"/>
      <c r="K44" s="255"/>
      <c r="L44" s="256"/>
      <c r="M44" s="254">
        <v>753.16</v>
      </c>
      <c r="N44" s="255">
        <f t="shared" si="40"/>
        <v>424.02907999999996</v>
      </c>
      <c r="O44" s="256">
        <f t="shared" si="41"/>
        <v>256.07440000000003</v>
      </c>
      <c r="P44" s="254">
        <v>1002.3</v>
      </c>
      <c r="Q44" s="255">
        <f>P44*$Q$57</f>
        <v>561.28800000000001</v>
      </c>
      <c r="R44" s="256">
        <f t="shared" si="42"/>
        <v>340.78199999999998</v>
      </c>
      <c r="S44" s="254">
        <f t="shared" si="43"/>
        <v>775.45353599999999</v>
      </c>
      <c r="T44" s="255">
        <f t="shared" si="44"/>
        <v>436.58034076799993</v>
      </c>
      <c r="U44" s="256">
        <f t="shared" si="45"/>
        <v>263.65420224000002</v>
      </c>
      <c r="V44" s="254">
        <v>1394.8</v>
      </c>
      <c r="W44" s="255">
        <f t="shared" si="46"/>
        <v>669.50399999999991</v>
      </c>
      <c r="X44" s="256">
        <f t="shared" si="47"/>
        <v>474.23200000000003</v>
      </c>
      <c r="Y44" s="285">
        <f t="shared" si="48"/>
        <v>796.10386366367993</v>
      </c>
      <c r="Z44" s="255">
        <f t="shared" si="38"/>
        <v>448.20647524265178</v>
      </c>
      <c r="AA44" s="256">
        <f t="shared" si="39"/>
        <v>270.67531364565122</v>
      </c>
      <c r="AB44" s="285">
        <f>96.83*12</f>
        <v>1161.96</v>
      </c>
      <c r="AC44" s="255">
        <f t="shared" si="51"/>
        <v>557.74080000000004</v>
      </c>
      <c r="AD44" s="256">
        <f t="shared" si="49"/>
        <v>395.06640000000004</v>
      </c>
      <c r="AE44" s="285">
        <f>1819.61+259.964+21.609+29.705+19.84</f>
        <v>2150.7280000000001</v>
      </c>
      <c r="AF44" s="255">
        <f t="shared" si="52"/>
        <v>1012.992888</v>
      </c>
      <c r="AG44" s="256">
        <f t="shared" si="53"/>
        <v>754.905528</v>
      </c>
      <c r="AH44" s="285">
        <f t="shared" si="50"/>
        <v>2236.7571200000002</v>
      </c>
      <c r="AI44" s="255">
        <v>580.04999999999995</v>
      </c>
      <c r="AJ44" s="1000">
        <v>410.87</v>
      </c>
      <c r="AK44" s="1015"/>
      <c r="AL44" s="255">
        <v>1118.6400000000001</v>
      </c>
      <c r="AM44" s="1000">
        <v>959.52</v>
      </c>
      <c r="AN44" s="1015"/>
      <c r="AO44" s="255">
        <v>597.34</v>
      </c>
      <c r="AP44" s="256">
        <v>420.61</v>
      </c>
      <c r="AQ44" s="772"/>
      <c r="AR44" s="255">
        <v>1152.2</v>
      </c>
      <c r="AS44" s="256">
        <v>988.31</v>
      </c>
      <c r="AT44" s="254"/>
      <c r="AU44" s="255">
        <v>1186.77</v>
      </c>
      <c r="AV44" s="1000">
        <v>1017.96</v>
      </c>
      <c r="AW44" s="254">
        <f t="shared" si="54"/>
        <v>0</v>
      </c>
      <c r="AX44" s="255">
        <f t="shared" si="55"/>
        <v>1222.3731</v>
      </c>
      <c r="AY44" s="256">
        <v>1048.49</v>
      </c>
      <c r="AZ44" s="772">
        <f t="shared" si="56"/>
        <v>0</v>
      </c>
      <c r="BA44" s="255">
        <f t="shared" si="57"/>
        <v>1259.0442930000002</v>
      </c>
      <c r="BB44" s="256">
        <v>1079.95</v>
      </c>
    </row>
    <row r="45" spans="2:54" ht="21">
      <c r="B45" s="251" t="s">
        <v>328</v>
      </c>
      <c r="C45" s="15" t="s">
        <v>277</v>
      </c>
      <c r="D45" s="251"/>
      <c r="E45" s="283"/>
      <c r="F45" s="284"/>
      <c r="G45" s="254"/>
      <c r="H45" s="255"/>
      <c r="I45" s="256"/>
      <c r="J45" s="254"/>
      <c r="K45" s="255"/>
      <c r="L45" s="256"/>
      <c r="M45" s="254">
        <v>1188.56</v>
      </c>
      <c r="N45" s="255">
        <f t="shared" si="40"/>
        <v>669.15927999999985</v>
      </c>
      <c r="O45" s="256">
        <f t="shared" si="41"/>
        <v>404.11040000000003</v>
      </c>
      <c r="P45" s="254">
        <v>2997.01</v>
      </c>
      <c r="Q45" s="255">
        <f>P45*$Q$57</f>
        <v>1678.3256000000003</v>
      </c>
      <c r="R45" s="256">
        <f t="shared" si="42"/>
        <v>1018.9834000000002</v>
      </c>
      <c r="S45" s="254">
        <f t="shared" si="43"/>
        <v>1223.7413759999999</v>
      </c>
      <c r="T45" s="255">
        <f t="shared" si="44"/>
        <v>688.96639468799992</v>
      </c>
      <c r="U45" s="256">
        <f t="shared" si="45"/>
        <v>416.07206783999999</v>
      </c>
      <c r="V45" s="254">
        <v>805.05200000000002</v>
      </c>
      <c r="W45" s="255">
        <f t="shared" si="46"/>
        <v>386.42496</v>
      </c>
      <c r="X45" s="256">
        <f t="shared" si="47"/>
        <v>273.71768000000003</v>
      </c>
      <c r="Y45" s="285">
        <f t="shared" si="48"/>
        <v>1256.3296088428799</v>
      </c>
      <c r="Z45" s="255">
        <v>707.32</v>
      </c>
      <c r="AA45" s="256">
        <f t="shared" si="39"/>
        <v>427.15206700657922</v>
      </c>
      <c r="AB45" s="285">
        <f>V45*1.05</f>
        <v>845.30460000000005</v>
      </c>
      <c r="AC45" s="255">
        <f t="shared" si="51"/>
        <v>405.74620800000002</v>
      </c>
      <c r="AD45" s="256">
        <f t="shared" si="49"/>
        <v>287.40356400000002</v>
      </c>
      <c r="AE45" s="285">
        <f>694.116+425.869+649.139+62.91+132.775+80.255</f>
        <v>2045.0640000000003</v>
      </c>
      <c r="AF45" s="255">
        <f t="shared" si="52"/>
        <v>963.22514400000011</v>
      </c>
      <c r="AG45" s="256">
        <f t="shared" si="53"/>
        <v>717.81746400000009</v>
      </c>
      <c r="AH45" s="285">
        <f t="shared" si="50"/>
        <v>2126.8665600000004</v>
      </c>
      <c r="AI45" s="255">
        <v>415.11</v>
      </c>
      <c r="AJ45" s="1000">
        <v>294.04000000000002</v>
      </c>
      <c r="AK45" s="1015"/>
      <c r="AL45" s="255">
        <v>1439.8</v>
      </c>
      <c r="AM45" s="1000">
        <v>875.08</v>
      </c>
      <c r="AN45" s="1015"/>
      <c r="AO45" s="255">
        <v>427.48</v>
      </c>
      <c r="AP45" s="256">
        <v>301.01</v>
      </c>
      <c r="AQ45" s="772"/>
      <c r="AR45" s="255">
        <v>1482.99</v>
      </c>
      <c r="AS45" s="256">
        <v>901.33</v>
      </c>
      <c r="AT45" s="254"/>
      <c r="AU45" s="255">
        <v>1527.48</v>
      </c>
      <c r="AV45" s="1000">
        <v>928.37</v>
      </c>
      <c r="AW45" s="254">
        <f t="shared" si="54"/>
        <v>0</v>
      </c>
      <c r="AX45" s="255">
        <f t="shared" si="55"/>
        <v>1573.3044</v>
      </c>
      <c r="AY45" s="256">
        <v>956.22</v>
      </c>
      <c r="AZ45" s="772">
        <f t="shared" si="56"/>
        <v>0</v>
      </c>
      <c r="BA45" s="255">
        <f t="shared" si="57"/>
        <v>1620.503532</v>
      </c>
      <c r="BB45" s="256">
        <v>984.91</v>
      </c>
    </row>
    <row r="46" spans="2:54" ht="21">
      <c r="B46" s="251" t="s">
        <v>330</v>
      </c>
      <c r="C46" s="15" t="s">
        <v>279</v>
      </c>
      <c r="D46" s="251"/>
      <c r="E46" s="283"/>
      <c r="F46" s="284"/>
      <c r="G46" s="254"/>
      <c r="H46" s="255"/>
      <c r="I46" s="256"/>
      <c r="J46" s="254"/>
      <c r="K46" s="255"/>
      <c r="L46" s="256"/>
      <c r="M46" s="254">
        <v>951.21</v>
      </c>
      <c r="N46" s="255">
        <f t="shared" si="40"/>
        <v>535.53122999999994</v>
      </c>
      <c r="O46" s="256">
        <f t="shared" si="41"/>
        <v>323.41140000000001</v>
      </c>
      <c r="P46" s="254">
        <v>995.05</v>
      </c>
      <c r="Q46" s="255">
        <f>P46*$Q$57</f>
        <v>557.22800000000007</v>
      </c>
      <c r="R46" s="256">
        <f t="shared" si="42"/>
        <v>338.31700000000001</v>
      </c>
      <c r="S46" s="254">
        <f t="shared" si="43"/>
        <v>979.36581600000011</v>
      </c>
      <c r="T46" s="255">
        <f t="shared" si="44"/>
        <v>551.38295440800005</v>
      </c>
      <c r="U46" s="256">
        <f t="shared" si="45"/>
        <v>332.98437744000006</v>
      </c>
      <c r="V46" s="254">
        <v>771</v>
      </c>
      <c r="W46" s="255">
        <f t="shared" si="46"/>
        <v>370.08</v>
      </c>
      <c r="X46" s="256">
        <f t="shared" si="47"/>
        <v>262.14000000000004</v>
      </c>
      <c r="Y46" s="285">
        <f>S46*$Z$2</f>
        <v>1005.44632768008</v>
      </c>
      <c r="Z46" s="255"/>
      <c r="AA46" s="256">
        <v>341.85</v>
      </c>
      <c r="AB46" s="285">
        <f>V46*1.05</f>
        <v>809.55000000000007</v>
      </c>
      <c r="AC46" s="255">
        <f t="shared" si="51"/>
        <v>388.584</v>
      </c>
      <c r="AD46" s="256">
        <f t="shared" si="49"/>
        <v>275.24700000000007</v>
      </c>
      <c r="AE46" s="285">
        <v>0</v>
      </c>
      <c r="AF46" s="255">
        <f t="shared" si="52"/>
        <v>0</v>
      </c>
      <c r="AG46" s="256">
        <f t="shared" si="53"/>
        <v>0</v>
      </c>
      <c r="AH46" s="285">
        <f t="shared" si="50"/>
        <v>0</v>
      </c>
      <c r="AI46" s="255">
        <v>397.36</v>
      </c>
      <c r="AJ46" s="1000">
        <v>281.60000000000002</v>
      </c>
      <c r="AK46" s="1015"/>
      <c r="AL46" s="255">
        <f>321.32+23</f>
        <v>344.32</v>
      </c>
      <c r="AM46" s="1000">
        <v>248.42</v>
      </c>
      <c r="AN46" s="1015"/>
      <c r="AO46" s="255">
        <f>409.4+0.01</f>
        <v>409.40999999999997</v>
      </c>
      <c r="AP46" s="256">
        <f>288.28-0.01</f>
        <v>288.27</v>
      </c>
      <c r="AQ46" s="772"/>
      <c r="AR46" s="255">
        <f>353.45+0.01</f>
        <v>353.46</v>
      </c>
      <c r="AS46" s="256">
        <v>255.87</v>
      </c>
      <c r="AT46" s="254"/>
      <c r="AU46" s="255">
        <f>364.05-0.514</f>
        <v>363.536</v>
      </c>
      <c r="AV46" s="1000">
        <f>263.55-0.01</f>
        <v>263.54000000000002</v>
      </c>
      <c r="AW46" s="254">
        <f t="shared" si="54"/>
        <v>0</v>
      </c>
      <c r="AX46" s="255">
        <f t="shared" si="55"/>
        <v>374.44208000000003</v>
      </c>
      <c r="AY46" s="256">
        <f>271.45+0.01</f>
        <v>271.45999999999998</v>
      </c>
      <c r="AZ46" s="772">
        <f t="shared" si="56"/>
        <v>0</v>
      </c>
      <c r="BA46" s="255">
        <f t="shared" si="57"/>
        <v>385.67534240000003</v>
      </c>
      <c r="BB46" s="256">
        <v>279.60000000000002</v>
      </c>
    </row>
    <row r="47" spans="2:54" ht="21">
      <c r="B47" s="251" t="s">
        <v>324</v>
      </c>
      <c r="C47" s="288" t="s">
        <v>177</v>
      </c>
      <c r="D47" s="251" t="s">
        <v>22</v>
      </c>
      <c r="E47" s="283"/>
      <c r="F47" s="284"/>
      <c r="G47" s="259">
        <f t="shared" ref="G47:L47" si="58">SUM(G48:G50)</f>
        <v>14424</v>
      </c>
      <c r="H47" s="181">
        <f t="shared" si="58"/>
        <v>7125.4560000000001</v>
      </c>
      <c r="I47" s="260">
        <f t="shared" si="58"/>
        <v>5443.6176000000005</v>
      </c>
      <c r="J47" s="259">
        <f t="shared" si="58"/>
        <v>18104.400000000001</v>
      </c>
      <c r="K47" s="181">
        <f t="shared" si="58"/>
        <v>8943.5735999999997</v>
      </c>
      <c r="L47" s="260">
        <f t="shared" si="58"/>
        <v>6832.6005600000008</v>
      </c>
      <c r="M47" s="259">
        <f t="shared" ref="M47:BB47" si="59">SUM(M48:M50)</f>
        <v>13845.58</v>
      </c>
      <c r="N47" s="181">
        <f t="shared" si="59"/>
        <v>7795.0615399999988</v>
      </c>
      <c r="O47" s="260">
        <f t="shared" si="59"/>
        <v>4707.4972000000007</v>
      </c>
      <c r="P47" s="259">
        <f>SUM(P48:P50)</f>
        <v>19389.240000000002</v>
      </c>
      <c r="Q47" s="181">
        <f>SUM(Q48:Q50)</f>
        <v>10857.974400000003</v>
      </c>
      <c r="R47" s="260">
        <f>SUM(R48:R50)</f>
        <v>6592.3416000000007</v>
      </c>
      <c r="S47" s="259">
        <f t="shared" si="59"/>
        <v>14255.409168</v>
      </c>
      <c r="T47" s="181">
        <f>SUM(T48:T50)</f>
        <v>8025.7953615839997</v>
      </c>
      <c r="U47" s="260">
        <f t="shared" si="59"/>
        <v>4846.8391171200001</v>
      </c>
      <c r="V47" s="259">
        <f>SUM(V48:V50)</f>
        <v>4544.1189999999997</v>
      </c>
      <c r="W47" s="181">
        <f>SUM(W48:W50)</f>
        <v>2181.1771199999998</v>
      </c>
      <c r="X47" s="260">
        <f>SUM(X48:X50)</f>
        <v>1545.00046</v>
      </c>
      <c r="Y47" s="259">
        <f t="shared" si="59"/>
        <v>14635.030714143839</v>
      </c>
      <c r="Z47" s="181">
        <f>SUM(Z48:Z50)</f>
        <v>8239.5322920629806</v>
      </c>
      <c r="AA47" s="260">
        <f t="shared" si="59"/>
        <v>4975.9104428089058</v>
      </c>
      <c r="AB47" s="259">
        <f t="shared" ref="AB47:AG47" si="60">SUM(AB48:AB50)</f>
        <v>4680.4425700000002</v>
      </c>
      <c r="AC47" s="181">
        <f t="shared" si="60"/>
        <v>2635.0991669099999</v>
      </c>
      <c r="AD47" s="260">
        <f t="shared" si="60"/>
        <v>1591.3504738000001</v>
      </c>
      <c r="AE47" s="259">
        <f>AE48+AE49</f>
        <v>15.573</v>
      </c>
      <c r="AF47" s="255">
        <f t="shared" si="52"/>
        <v>7.3348829999999996</v>
      </c>
      <c r="AG47" s="260">
        <f t="shared" si="60"/>
        <v>5.4661229999999996</v>
      </c>
      <c r="AH47" s="259">
        <f t="shared" si="59"/>
        <v>20</v>
      </c>
      <c r="AI47" s="181">
        <f t="shared" si="59"/>
        <v>2336.48</v>
      </c>
      <c r="AJ47" s="1001">
        <f t="shared" si="59"/>
        <v>1655.02</v>
      </c>
      <c r="AK47" s="259"/>
      <c r="AL47" s="1001">
        <f t="shared" si="59"/>
        <v>2302.4319999999998</v>
      </c>
      <c r="AM47" s="1001"/>
      <c r="AN47" s="259"/>
      <c r="AO47" s="1021">
        <f t="shared" si="59"/>
        <v>2394.5292799999997</v>
      </c>
      <c r="AP47" s="1021">
        <f t="shared" si="59"/>
        <v>1694.23</v>
      </c>
      <c r="AQ47" s="1021">
        <f t="shared" si="59"/>
        <v>0</v>
      </c>
      <c r="AR47" s="1021">
        <f t="shared" si="59"/>
        <v>2394.5292799999997</v>
      </c>
      <c r="AS47" s="1021">
        <f t="shared" si="59"/>
        <v>0</v>
      </c>
      <c r="AT47" s="1021">
        <f t="shared" si="59"/>
        <v>0</v>
      </c>
      <c r="AU47" s="1021">
        <f t="shared" si="59"/>
        <v>2490.3104512</v>
      </c>
      <c r="AV47" s="1021">
        <f t="shared" si="59"/>
        <v>0</v>
      </c>
      <c r="AW47" s="1021">
        <f t="shared" si="59"/>
        <v>0</v>
      </c>
      <c r="AX47" s="1021">
        <f t="shared" si="59"/>
        <v>2589.9228692480001</v>
      </c>
      <c r="AY47" s="1021">
        <f t="shared" si="59"/>
        <v>0</v>
      </c>
      <c r="AZ47" s="1021">
        <f t="shared" si="59"/>
        <v>0</v>
      </c>
      <c r="BA47" s="1021">
        <f t="shared" si="59"/>
        <v>2693.5197840179203</v>
      </c>
      <c r="BB47" s="1021">
        <f t="shared" si="59"/>
        <v>0</v>
      </c>
    </row>
    <row r="48" spans="2:54" ht="31.5">
      <c r="B48" s="251" t="s">
        <v>680</v>
      </c>
      <c r="C48" s="39" t="s">
        <v>681</v>
      </c>
      <c r="D48" s="251" t="s">
        <v>22</v>
      </c>
      <c r="E48" s="289"/>
      <c r="F48" s="290"/>
      <c r="G48" s="254"/>
      <c r="H48" s="291"/>
      <c r="I48" s="292"/>
      <c r="J48" s="254"/>
      <c r="K48" s="291"/>
      <c r="L48" s="292"/>
      <c r="M48" s="254"/>
      <c r="N48" s="291"/>
      <c r="O48" s="292"/>
      <c r="P48" s="254"/>
      <c r="Q48" s="291"/>
      <c r="R48" s="292"/>
      <c r="S48" s="254"/>
      <c r="T48" s="291"/>
      <c r="U48" s="292"/>
      <c r="V48" s="254"/>
      <c r="W48" s="291"/>
      <c r="X48" s="292"/>
      <c r="Y48" s="254"/>
      <c r="Z48" s="291"/>
      <c r="AA48" s="292"/>
      <c r="AB48" s="254"/>
      <c r="AC48" s="291"/>
      <c r="AD48" s="292"/>
      <c r="AE48" s="254"/>
      <c r="AF48" s="291"/>
      <c r="AG48" s="292"/>
      <c r="AH48" s="254"/>
      <c r="AI48" s="291"/>
      <c r="AJ48" s="1006"/>
      <c r="AK48" s="1017"/>
      <c r="AL48" s="291"/>
      <c r="AM48" s="1006"/>
      <c r="AN48" s="1017"/>
      <c r="AO48" s="291"/>
      <c r="AP48" s="292"/>
      <c r="AQ48" s="772"/>
      <c r="AR48" s="291"/>
      <c r="AS48" s="292"/>
      <c r="AT48" s="254"/>
      <c r="AU48" s="291"/>
      <c r="AV48" s="1006"/>
      <c r="AW48" s="254"/>
      <c r="AX48" s="291"/>
      <c r="AY48" s="292"/>
      <c r="AZ48" s="772"/>
      <c r="BA48" s="291"/>
      <c r="BB48" s="292"/>
    </row>
    <row r="49" spans="2:54" ht="42">
      <c r="B49" s="251" t="s">
        <v>682</v>
      </c>
      <c r="C49" s="27" t="s">
        <v>683</v>
      </c>
      <c r="D49" s="251" t="s">
        <v>22</v>
      </c>
      <c r="E49" s="289"/>
      <c r="F49" s="290"/>
      <c r="G49" s="254">
        <v>14424</v>
      </c>
      <c r="H49" s="255">
        <f>G49*$B$57</f>
        <v>7125.4560000000001</v>
      </c>
      <c r="I49" s="256">
        <f>G49*$B$58</f>
        <v>5443.6176000000005</v>
      </c>
      <c r="J49" s="254">
        <v>18104.400000000001</v>
      </c>
      <c r="K49" s="255">
        <f>J49*$B$57</f>
        <v>8943.5735999999997</v>
      </c>
      <c r="L49" s="256">
        <f>J49*$B$58</f>
        <v>6832.6005600000008</v>
      </c>
      <c r="M49" s="254">
        <v>13845.58</v>
      </c>
      <c r="N49" s="255">
        <f>M49*$N$57</f>
        <v>7795.0615399999988</v>
      </c>
      <c r="O49" s="256">
        <f>M49*$O$58</f>
        <v>4707.4972000000007</v>
      </c>
      <c r="P49" s="254">
        <v>19389.240000000002</v>
      </c>
      <c r="Q49" s="255">
        <f>P49*$Q$57</f>
        <v>10857.974400000003</v>
      </c>
      <c r="R49" s="256">
        <f>P49*$Q$58</f>
        <v>6592.3416000000007</v>
      </c>
      <c r="S49" s="254">
        <f>M49*S2</f>
        <v>14255.409168</v>
      </c>
      <c r="T49" s="291">
        <f>S49*T57</f>
        <v>8025.7953615839997</v>
      </c>
      <c r="U49" s="292">
        <f>S49*T58</f>
        <v>4846.8391171200001</v>
      </c>
      <c r="V49" s="254">
        <f>980.25+3540+23.869</f>
        <v>4544.1189999999997</v>
      </c>
      <c r="W49" s="291">
        <f>V49*W57</f>
        <v>2181.1771199999998</v>
      </c>
      <c r="X49" s="292">
        <f>V49*W58</f>
        <v>1545.00046</v>
      </c>
      <c r="Y49" s="254">
        <f>S49*Z2</f>
        <v>14635.030714143839</v>
      </c>
      <c r="Z49" s="255">
        <f>Y49*$Z$57+0.01</f>
        <v>8239.5322920629806</v>
      </c>
      <c r="AA49" s="256">
        <f>Y49*$Z$58</f>
        <v>4975.9104428089058</v>
      </c>
      <c r="AB49" s="254">
        <f>V49*1.03</f>
        <v>4680.4425700000002</v>
      </c>
      <c r="AC49" s="255">
        <f>AB49*$Z$57+0.01</f>
        <v>2635.0991669099999</v>
      </c>
      <c r="AD49" s="256">
        <f>AB49*AC58</f>
        <v>1591.3504738000001</v>
      </c>
      <c r="AE49" s="254">
        <v>15.573</v>
      </c>
      <c r="AF49" s="255">
        <f>AE49*$Z$57+0.01</f>
        <v>8.7775989999999986</v>
      </c>
      <c r="AG49" s="256">
        <f>AE49*AF58</f>
        <v>5.4661229999999996</v>
      </c>
      <c r="AH49" s="254">
        <v>20</v>
      </c>
      <c r="AI49" s="255">
        <v>2336.48</v>
      </c>
      <c r="AJ49" s="1000">
        <f>1665-10+0.02</f>
        <v>1655.02</v>
      </c>
      <c r="AK49" s="1015"/>
      <c r="AL49" s="255">
        <f>'К ВС'!S168</f>
        <v>2302.4319999999998</v>
      </c>
      <c r="AM49" s="1000"/>
      <c r="AN49" s="1015"/>
      <c r="AO49" s="255">
        <f>'расшифровки ВС'!O300</f>
        <v>2394.5292799999997</v>
      </c>
      <c r="AP49" s="256">
        <v>1694.23</v>
      </c>
      <c r="AQ49" s="772"/>
      <c r="AR49" s="255">
        <f>'расшифровки ВС'!O300</f>
        <v>2394.5292799999997</v>
      </c>
      <c r="AS49" s="256">
        <f>AQ49*$AR$58</f>
        <v>0</v>
      </c>
      <c r="AT49" s="254">
        <f>AQ49*AT2</f>
        <v>0</v>
      </c>
      <c r="AU49" s="255">
        <f>'расшифровки ВС'!Q300</f>
        <v>2490.3104512</v>
      </c>
      <c r="AV49" s="1000">
        <f>AT49*$AU$58</f>
        <v>0</v>
      </c>
      <c r="AW49" s="254">
        <f>AT49*AW2</f>
        <v>0</v>
      </c>
      <c r="AX49" s="293">
        <f>'расшифровки ВС'!S300</f>
        <v>2589.9228692480001</v>
      </c>
      <c r="AY49" s="294">
        <f>AW49*AX58</f>
        <v>0</v>
      </c>
      <c r="AZ49" s="772">
        <f>AW49*AZ2</f>
        <v>0</v>
      </c>
      <c r="BA49" s="293">
        <f>'расшифровки ВС'!U300</f>
        <v>2693.5197840179203</v>
      </c>
      <c r="BB49" s="294">
        <f>AZ49*BA58</f>
        <v>0</v>
      </c>
    </row>
    <row r="50" spans="2:54" ht="21.75" thickBot="1">
      <c r="B50" s="1033" t="s">
        <v>684</v>
      </c>
      <c r="C50" s="1034" t="s">
        <v>685</v>
      </c>
      <c r="D50" s="1033"/>
      <c r="E50" s="1035"/>
      <c r="F50" s="1036"/>
      <c r="G50" s="1037"/>
      <c r="H50" s="1038"/>
      <c r="I50" s="1039"/>
      <c r="J50" s="1037"/>
      <c r="K50" s="1038"/>
      <c r="L50" s="1039"/>
      <c r="M50" s="1037"/>
      <c r="N50" s="1038"/>
      <c r="O50" s="1039"/>
      <c r="P50" s="1037"/>
      <c r="Q50" s="1038"/>
      <c r="R50" s="1039"/>
      <c r="S50" s="1037"/>
      <c r="T50" s="1038"/>
      <c r="U50" s="1039"/>
      <c r="V50" s="1037"/>
      <c r="W50" s="1038"/>
      <c r="X50" s="1039"/>
      <c r="Y50" s="1037"/>
      <c r="Z50" s="1038"/>
      <c r="AA50" s="1039"/>
      <c r="AB50" s="1037"/>
      <c r="AC50" s="1038"/>
      <c r="AD50" s="1039"/>
      <c r="AE50" s="1037"/>
      <c r="AF50" s="1038"/>
      <c r="AG50" s="1039"/>
      <c r="AH50" s="1037"/>
      <c r="AI50" s="1038"/>
      <c r="AJ50" s="1040"/>
      <c r="AK50" s="1041"/>
      <c r="AL50" s="1038"/>
      <c r="AM50" s="1040"/>
      <c r="AN50" s="1041"/>
      <c r="AO50" s="1038"/>
      <c r="AP50" s="1039"/>
      <c r="AQ50" s="1042"/>
      <c r="AR50" s="1038"/>
      <c r="AS50" s="1039"/>
      <c r="AT50" s="1037"/>
      <c r="AU50" s="1038"/>
      <c r="AV50" s="1040"/>
      <c r="AW50" s="1086"/>
      <c r="AX50" s="1087"/>
      <c r="AY50" s="1088"/>
      <c r="AZ50" s="1042"/>
      <c r="BA50" s="1038"/>
      <c r="BB50" s="1039"/>
    </row>
    <row r="51" spans="2:54" ht="15.75" thickBot="1">
      <c r="B51" s="1043"/>
      <c r="C51" s="1044" t="s">
        <v>686</v>
      </c>
      <c r="D51" s="1045" t="s">
        <v>544</v>
      </c>
      <c r="E51" s="1046" t="e">
        <f>#REF!+#REF!+E26</f>
        <v>#REF!</v>
      </c>
      <c r="F51" s="1047">
        <f>F6+F15+F38+F39+F40+F41+F47+F48+F49</f>
        <v>0</v>
      </c>
      <c r="G51" s="1048">
        <f t="shared" ref="G51:L51" si="61">G6+G15+G38+G39+G40+G41+G42+G47</f>
        <v>75573.697484480013</v>
      </c>
      <c r="H51" s="1048">
        <f t="shared" si="61"/>
        <v>37333.406557333117</v>
      </c>
      <c r="I51" s="1048">
        <f t="shared" si="61"/>
        <v>28521.513430642761</v>
      </c>
      <c r="J51" s="1048">
        <f t="shared" si="61"/>
        <v>79569.983340000006</v>
      </c>
      <c r="K51" s="1048">
        <f t="shared" si="61"/>
        <v>42801.057870419987</v>
      </c>
      <c r="L51" s="1048">
        <f t="shared" si="61"/>
        <v>28136.140985600003</v>
      </c>
      <c r="M51" s="1048">
        <f>M6+M15+M38+M39+M40+M41+M42+M43+M44+M45+M46+M47</f>
        <v>81579.980368000019</v>
      </c>
      <c r="N51" s="1048">
        <f>N6+N15+N38+N39+N40+N41+N42+N43+N44+N45+N46+N47-536</f>
        <v>45839.649777184008</v>
      </c>
      <c r="O51" s="1048">
        <f>O6+O15+O38+O39+O40+O41+O42+O43+O44+O45+O46+O47-0.27</f>
        <v>1207796.7922085202</v>
      </c>
      <c r="P51" s="1048">
        <f>P6+P15+P38+P39+P40+P41+P42+P43+P44+P45+P46+P47</f>
        <v>91155.296390000003</v>
      </c>
      <c r="Q51" s="1048">
        <f>Q6+Q15+Q38+Q39+Q40+Q41+Q42+Q43+Q44+Q45+Q46+Q47</f>
        <v>51335.259578400015</v>
      </c>
      <c r="R51" s="1048">
        <f>R6+R15+R38+R39+R40+R41+R42+R43+R44+R45+R46+R47</f>
        <v>29734.001379999998</v>
      </c>
      <c r="S51" s="1048">
        <f t="shared" ref="S51:BB51" si="62">S6+S15+S38+S39+S40+S41+S42+S43+S44+S45+S46+S47</f>
        <v>83994.747786892825</v>
      </c>
      <c r="T51" s="1048">
        <f>T6+T15+T38+T39+T40+T41+T42+T43+T44+T45+T46+T47</f>
        <v>47655.819010588668</v>
      </c>
      <c r="U51" s="1048">
        <f>U6+U15+U38+U39+U40+U41+U42+U43+U44+U45+U46+U47-0.28</f>
        <v>28835.32496114356</v>
      </c>
      <c r="V51" s="1048">
        <f>V6+V15+V38+V39+V40+V41+V42+V43+V44+V45+V46+V47</f>
        <v>80602.022779999999</v>
      </c>
      <c r="W51" s="1048">
        <f>W6+W15+W38+W39+W40+W41+W42+W43+W44+W45+W46+W47</f>
        <v>39917.700804848006</v>
      </c>
      <c r="X51" s="1048">
        <f>X6+X15+X38+X39+X40+X41+X42+X43+X44+X45+X46+X47-0.28</f>
        <v>27321.4426652</v>
      </c>
      <c r="Y51" s="1048">
        <f t="shared" si="62"/>
        <v>87069.109180172964</v>
      </c>
      <c r="Z51" s="1048">
        <f>Z6+Z15+Z38+Z39+Z40+Z41+Z42+Z43+Z44+Z45+Z46+Z47</f>
        <v>48453.372492571783</v>
      </c>
      <c r="AA51" s="1048">
        <f t="shared" si="62"/>
        <v>29603.205757014406</v>
      </c>
      <c r="AB51" s="1048">
        <f>AB6+AB15+AB38+AB39+AB40+AB41+AB42+AB43+AB44+AB45+AB46+AB47</f>
        <v>84532.882601612509</v>
      </c>
      <c r="AC51" s="1048">
        <f>AC6+AC15+AC38+AC39+AC40+AC41+AC42+AC43+AC44+AC45+AC46+AC47</f>
        <v>41638.04409577512</v>
      </c>
      <c r="AD51" s="1048">
        <f>AD6+AD15+AD38+AD39+AD40+AD41+AD42+AD43+AD44+AD45+AD46+AD47</f>
        <v>28741.180084548254</v>
      </c>
      <c r="AE51" s="1048">
        <f>AE6+AE15+AE38+AE39+AE40+AE41+AE42+AE43+AE44+AE45+AE46+AE47</f>
        <v>85010.002700000012</v>
      </c>
      <c r="AF51" s="1048">
        <f>AF6+AF15+AF38+AF39+AF40+AF41+AF42+AF43+AF44+AF45+AF46+AF47+1.51</f>
        <v>46967.031697700011</v>
      </c>
      <c r="AG51" s="1048">
        <f>AG6+AG15+AG38+AG39+AG40+AG41+AG42+AG43+AG44+AG45+AG46+AG47+56.71</f>
        <v>34421.822653700001</v>
      </c>
      <c r="AH51" s="1048">
        <f t="shared" si="62"/>
        <v>78960.658448000002</v>
      </c>
      <c r="AI51" s="1048">
        <f>AI6+AI15+AI38+AI39+AI40+AI41+AI42+AI43+AI44+AI45+AI46+AI47</f>
        <v>39863.047340000005</v>
      </c>
      <c r="AJ51" s="1049">
        <f t="shared" si="62"/>
        <v>28236.333979999999</v>
      </c>
      <c r="AK51" s="1049">
        <f t="shared" si="62"/>
        <v>0</v>
      </c>
      <c r="AL51" s="1049">
        <f>AL6+AL15+AL38+AL39+AL40+AL41+AL42+AL43+AL44+AL45+AL46+AL47</f>
        <v>62509.30999999999</v>
      </c>
      <c r="AM51" s="1049">
        <f>AM6+AM15+AM38+AM39+AM40+AM41+AM42+AM43+AM44+AM45+AM46+AM47</f>
        <v>46028.42</v>
      </c>
      <c r="AN51" s="1049">
        <f>AN6+AN15+AN38+AN39+AN40+AN41+AN42+AN43+AN44+AN45+AN46+AN47</f>
        <v>0</v>
      </c>
      <c r="AO51" s="1049">
        <f>AO6+AO15+AO38+AO39+AO40+AO41+AO42+AO43+AO44+AO45+AO46+AO47</f>
        <v>41039.395280000004</v>
      </c>
      <c r="AP51" s="1049">
        <f>AP6+AP15+AP38+AP39+AP40+AP41+AP42+AP43+AP44+AP45+AP46+AP47</f>
        <v>28905.969999999998</v>
      </c>
      <c r="AQ51" s="1050">
        <f t="shared" si="62"/>
        <v>1704.4718080000002</v>
      </c>
      <c r="AR51" s="1048">
        <f t="shared" si="62"/>
        <v>65619.481679999983</v>
      </c>
      <c r="AS51" s="1048">
        <f t="shared" si="62"/>
        <v>48270.747400000007</v>
      </c>
      <c r="AT51" s="1048">
        <f t="shared" si="62"/>
        <v>89017.089000000007</v>
      </c>
      <c r="AU51" s="1048">
        <f t="shared" si="62"/>
        <v>68233.518751199997</v>
      </c>
      <c r="AV51" s="1048">
        <f t="shared" si="62"/>
        <v>50087.376700000001</v>
      </c>
      <c r="AW51" s="1048">
        <f t="shared" si="62"/>
        <v>0</v>
      </c>
      <c r="AX51" s="1048">
        <f t="shared" si="62"/>
        <v>69942.580889247984</v>
      </c>
      <c r="AY51" s="1048">
        <f t="shared" si="62"/>
        <v>51951.093580000008</v>
      </c>
      <c r="AZ51" s="1048">
        <f t="shared" si="62"/>
        <v>94192.395779999992</v>
      </c>
      <c r="BA51" s="1048">
        <f t="shared" si="62"/>
        <v>71704.63722541793</v>
      </c>
      <c r="BB51" s="1051">
        <f t="shared" si="62"/>
        <v>53908.211639999994</v>
      </c>
    </row>
    <row r="52" spans="2:54" ht="22.5" customHeight="1">
      <c r="B52" s="298"/>
      <c r="C52" s="299" t="s">
        <v>1305</v>
      </c>
      <c r="D52" s="300"/>
      <c r="E52" s="299"/>
      <c r="F52" s="299"/>
      <c r="G52" s="301"/>
      <c r="H52" s="302"/>
      <c r="I52" s="302"/>
      <c r="J52" s="302"/>
      <c r="K52" s="302"/>
      <c r="L52" s="302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</row>
    <row r="53" spans="2:54" hidden="1">
      <c r="B53" s="298"/>
      <c r="C53" s="680" t="s">
        <v>1260</v>
      </c>
      <c r="D53" s="304"/>
      <c r="E53" s="303"/>
      <c r="F53" s="303"/>
      <c r="G53" s="305"/>
      <c r="H53" s="306"/>
      <c r="I53" s="306"/>
      <c r="J53" s="306"/>
      <c r="K53" s="306"/>
      <c r="L53" s="306"/>
      <c r="M53" s="303"/>
      <c r="N53" s="303"/>
      <c r="O53" s="303"/>
      <c r="P53" s="307"/>
      <c r="Q53" s="303"/>
      <c r="R53" s="303"/>
      <c r="S53" s="303"/>
      <c r="T53" s="307"/>
      <c r="U53" s="303"/>
      <c r="V53" s="303"/>
      <c r="W53" s="303"/>
      <c r="X53" s="303"/>
      <c r="Y53" s="303"/>
      <c r="Z53" s="307"/>
      <c r="AA53" s="303"/>
      <c r="AB53" s="303"/>
      <c r="AC53" s="303"/>
      <c r="AD53" s="307"/>
      <c r="AE53" s="307"/>
      <c r="AF53" s="307">
        <f>'К ВС'!N134</f>
        <v>46967.034413700007</v>
      </c>
      <c r="AG53" s="307"/>
      <c r="AH53" s="303"/>
      <c r="AI53" s="307">
        <f>'К ВС'!R134</f>
        <v>39863.047340000005</v>
      </c>
      <c r="AJ53" s="303"/>
      <c r="AK53" s="303"/>
      <c r="AL53" s="303"/>
      <c r="AM53" s="303"/>
      <c r="AN53" s="303"/>
      <c r="AO53" s="303"/>
      <c r="AP53" s="303"/>
      <c r="AR53" s="134">
        <f>'К ВС'!T134</f>
        <v>62345.670911199995</v>
      </c>
      <c r="AU53" s="134">
        <f>'К ВС'!T134</f>
        <v>62345.670911199995</v>
      </c>
      <c r="AX53" s="134">
        <f>'К ВС'!Y134</f>
        <v>69942.586172992</v>
      </c>
      <c r="BA53" s="134">
        <f>'К ВС'!AA134</f>
        <v>71704.638655842893</v>
      </c>
    </row>
    <row r="54" spans="2:54" ht="2.25" customHeight="1">
      <c r="C54" s="680" t="s">
        <v>1261</v>
      </c>
      <c r="AF54" s="134">
        <f>AF51-AF53</f>
        <v>-2.7159999954164959E-3</v>
      </c>
    </row>
    <row r="55" spans="2:54" hidden="1">
      <c r="W55" t="s">
        <v>687</v>
      </c>
    </row>
    <row r="56" spans="2:54" ht="25.5">
      <c r="B56" s="309" t="s">
        <v>688</v>
      </c>
      <c r="C56" s="310" t="s">
        <v>1271</v>
      </c>
      <c r="D56" s="311"/>
      <c r="E56" s="204"/>
      <c r="F56" s="204"/>
      <c r="G56" s="312"/>
      <c r="H56" s="313"/>
      <c r="I56" s="313"/>
      <c r="J56" s="313"/>
      <c r="K56" s="313"/>
      <c r="L56" s="313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</row>
    <row r="57" spans="2:54">
      <c r="B57" s="314">
        <v>0.49399999999999999</v>
      </c>
      <c r="C57" s="315" t="s">
        <v>689</v>
      </c>
      <c r="D57" s="311"/>
      <c r="E57" s="204"/>
      <c r="F57" s="204"/>
      <c r="G57" s="316">
        <v>0.56299999999999994</v>
      </c>
      <c r="H57" s="316">
        <v>0.56299999999999994</v>
      </c>
      <c r="I57" s="316">
        <v>0.56299999999999994</v>
      </c>
      <c r="J57" s="316">
        <v>0.56299999999999994</v>
      </c>
      <c r="K57" s="316">
        <v>0.56299999999999994</v>
      </c>
      <c r="L57" s="316">
        <v>0.56299999999999994</v>
      </c>
      <c r="M57" s="316">
        <v>0.56299999999999994</v>
      </c>
      <c r="N57" s="316">
        <v>0.56299999999999994</v>
      </c>
      <c r="O57" s="316">
        <v>0.56299999999999994</v>
      </c>
      <c r="P57" s="316">
        <v>0.56299999999999994</v>
      </c>
      <c r="Q57" s="316">
        <v>0.56000000000000005</v>
      </c>
      <c r="R57" s="316">
        <v>0.56299999999999994</v>
      </c>
      <c r="S57" s="316">
        <v>0.56299999999999994</v>
      </c>
      <c r="T57" s="316">
        <v>0.56299999999999994</v>
      </c>
      <c r="U57" s="316">
        <v>0.56000000000000005</v>
      </c>
      <c r="V57" s="316"/>
      <c r="W57" s="317">
        <v>0.48</v>
      </c>
      <c r="X57" s="316"/>
      <c r="Y57" s="316">
        <v>0.56299999999999994</v>
      </c>
      <c r="Z57" s="316">
        <v>0.56299999999999994</v>
      </c>
      <c r="AA57" s="316">
        <v>0.56299999999999994</v>
      </c>
      <c r="AB57" s="316"/>
      <c r="AC57" s="317">
        <v>0.48</v>
      </c>
      <c r="AD57" s="316"/>
      <c r="AE57" s="316"/>
      <c r="AF57" s="346">
        <v>0.47099999999999997</v>
      </c>
      <c r="AG57" s="316"/>
      <c r="AH57" s="318"/>
      <c r="AI57" s="317">
        <v>0.49399999999999999</v>
      </c>
      <c r="AJ57" s="318"/>
      <c r="AK57" s="317">
        <v>0.49399999999999999</v>
      </c>
      <c r="AL57" s="318"/>
      <c r="AM57" s="318"/>
      <c r="AN57" s="317">
        <v>0.49399999999999999</v>
      </c>
      <c r="AO57" s="318"/>
      <c r="AP57" s="318"/>
      <c r="AQ57" s="318"/>
      <c r="AR57" s="317">
        <v>0.49399999999999999</v>
      </c>
      <c r="AS57" s="318"/>
      <c r="AT57" s="318"/>
      <c r="AU57" s="317">
        <v>0.49399999999999999</v>
      </c>
      <c r="AV57" s="204"/>
      <c r="AW57" s="204"/>
      <c r="AX57" s="317">
        <v>0.49399999999999999</v>
      </c>
      <c r="AY57" s="204"/>
      <c r="AZ57" s="204"/>
      <c r="BA57" s="317">
        <v>0.49399999999999999</v>
      </c>
      <c r="BB57" s="204"/>
    </row>
    <row r="58" spans="2:54">
      <c r="B58" s="314">
        <v>0.37740000000000001</v>
      </c>
      <c r="C58" s="319" t="s">
        <v>690</v>
      </c>
      <c r="D58" s="311"/>
      <c r="E58" s="204"/>
      <c r="F58" s="204"/>
      <c r="G58" s="316">
        <v>0.34</v>
      </c>
      <c r="H58" s="316">
        <v>0.34</v>
      </c>
      <c r="I58" s="316">
        <v>0.34</v>
      </c>
      <c r="J58" s="316">
        <v>0.34</v>
      </c>
      <c r="K58" s="316">
        <v>0.34</v>
      </c>
      <c r="L58" s="316">
        <v>0.34</v>
      </c>
      <c r="M58" s="316">
        <v>0.34</v>
      </c>
      <c r="N58" s="316">
        <v>0.34</v>
      </c>
      <c r="O58" s="316">
        <v>0.34</v>
      </c>
      <c r="P58" s="316">
        <v>0.34</v>
      </c>
      <c r="Q58" s="316">
        <v>0.34</v>
      </c>
      <c r="R58" s="316">
        <v>0.34</v>
      </c>
      <c r="S58" s="316">
        <v>0.34</v>
      </c>
      <c r="T58" s="316">
        <v>0.34</v>
      </c>
      <c r="U58" s="316">
        <v>0.34</v>
      </c>
      <c r="V58" s="316"/>
      <c r="W58" s="317">
        <v>0.34</v>
      </c>
      <c r="X58" s="316"/>
      <c r="Y58" s="316">
        <v>0.34</v>
      </c>
      <c r="Z58" s="316">
        <v>0.34</v>
      </c>
      <c r="AA58" s="318"/>
      <c r="AB58" s="318"/>
      <c r="AC58" s="317">
        <v>0.34</v>
      </c>
      <c r="AD58" s="318"/>
      <c r="AE58" s="318"/>
      <c r="AF58" s="346">
        <v>0.35099999999999998</v>
      </c>
      <c r="AG58" s="318"/>
      <c r="AH58" s="318"/>
      <c r="AI58" s="317">
        <v>0.37740000000000001</v>
      </c>
      <c r="AJ58" s="318"/>
      <c r="AK58" s="317">
        <v>0.37740000000000001</v>
      </c>
      <c r="AL58" s="318"/>
      <c r="AM58" s="318"/>
      <c r="AN58" s="317">
        <v>0.37740000000000001</v>
      </c>
      <c r="AO58" s="318"/>
      <c r="AP58" s="318"/>
      <c r="AQ58" s="318"/>
      <c r="AR58" s="317">
        <v>0.374</v>
      </c>
      <c r="AS58" s="318"/>
      <c r="AT58" s="318"/>
      <c r="AU58" s="317">
        <v>0.374</v>
      </c>
      <c r="AV58" s="204"/>
      <c r="AW58" s="204"/>
      <c r="AX58" s="317">
        <v>0.374</v>
      </c>
      <c r="AY58" s="204"/>
      <c r="AZ58" s="204"/>
      <c r="BA58" s="317">
        <v>0.374</v>
      </c>
      <c r="BB58" s="204"/>
    </row>
    <row r="59" spans="2:54" ht="25.5" hidden="1">
      <c r="B59" s="309" t="s">
        <v>688</v>
      </c>
      <c r="C59" s="310" t="s">
        <v>1270</v>
      </c>
      <c r="D59" s="311"/>
      <c r="E59" s="204"/>
      <c r="F59" s="204"/>
      <c r="G59" s="312"/>
      <c r="H59" s="313"/>
      <c r="I59" s="313"/>
      <c r="J59" s="313"/>
      <c r="K59" s="313"/>
      <c r="L59" s="313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</row>
    <row r="60" spans="2:54" hidden="1">
      <c r="B60" s="320"/>
      <c r="C60" s="315" t="s">
        <v>689</v>
      </c>
      <c r="D60" s="311"/>
      <c r="E60" s="204"/>
      <c r="F60" s="204"/>
      <c r="G60" s="312"/>
      <c r="H60" s="313"/>
      <c r="I60" s="313"/>
      <c r="J60" s="313"/>
      <c r="K60" s="313"/>
      <c r="L60" s="313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321">
        <f>AB51*AC57</f>
        <v>40575.783648774006</v>
      </c>
      <c r="AD60" s="204"/>
      <c r="AE60" s="204"/>
      <c r="AF60" s="204"/>
      <c r="AG60" s="204"/>
      <c r="AH60" s="204"/>
      <c r="AI60" s="321">
        <f>AI51</f>
        <v>39863.047340000005</v>
      </c>
      <c r="AJ60" s="204"/>
      <c r="AK60" s="321">
        <f>AL51</f>
        <v>62509.30999999999</v>
      </c>
      <c r="AL60" s="204"/>
      <c r="AM60" s="204"/>
      <c r="AN60" s="204"/>
      <c r="AO60" s="321">
        <f>AO51</f>
        <v>41039.395280000004</v>
      </c>
      <c r="AP60" s="204"/>
      <c r="AQ60" s="204"/>
      <c r="AR60" s="321">
        <f>AR51</f>
        <v>65619.481679999983</v>
      </c>
      <c r="AS60" s="204"/>
      <c r="AT60" s="204"/>
      <c r="AU60" s="321">
        <f>AU51</f>
        <v>68233.518751199997</v>
      </c>
      <c r="AV60" s="204"/>
      <c r="AW60" s="204"/>
      <c r="AX60" s="321">
        <f>AX51</f>
        <v>69942.580889247984</v>
      </c>
      <c r="AY60" s="204"/>
      <c r="AZ60" s="204"/>
      <c r="BA60" s="321">
        <f>AZ51*BA57</f>
        <v>46531.043515319994</v>
      </c>
      <c r="BB60" s="204"/>
    </row>
    <row r="61" spans="2:54" hidden="1">
      <c r="B61" s="320"/>
      <c r="C61" s="319" t="s">
        <v>690</v>
      </c>
      <c r="D61" s="311"/>
      <c r="E61" s="204"/>
      <c r="F61" s="204"/>
      <c r="G61" s="312"/>
      <c r="H61" s="313"/>
      <c r="I61" s="313"/>
      <c r="J61" s="313"/>
      <c r="K61" s="313"/>
      <c r="L61" s="313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321">
        <f>AB51*AC58</f>
        <v>28741.180084548254</v>
      </c>
      <c r="AD61" s="204"/>
      <c r="AE61" s="204"/>
      <c r="AF61" s="204"/>
      <c r="AG61" s="204"/>
      <c r="AH61" s="204"/>
      <c r="AI61" s="321">
        <f>AJ51</f>
        <v>28236.333979999999</v>
      </c>
      <c r="AJ61" s="204"/>
      <c r="AK61" s="321">
        <f>AM51</f>
        <v>46028.42</v>
      </c>
      <c r="AL61" s="204"/>
      <c r="AM61" s="204"/>
      <c r="AN61" s="204"/>
      <c r="AO61" s="321">
        <f>AP51</f>
        <v>28905.969999999998</v>
      </c>
      <c r="AP61" s="204"/>
      <c r="AQ61" s="204"/>
      <c r="AR61" s="321">
        <f>AS51</f>
        <v>48270.747400000007</v>
      </c>
      <c r="AS61" s="204"/>
      <c r="AT61" s="204"/>
      <c r="AU61" s="321">
        <f>AV51</f>
        <v>50087.376700000001</v>
      </c>
      <c r="AV61" s="204"/>
      <c r="AW61" s="204"/>
      <c r="AX61" s="321">
        <f>AY51</f>
        <v>51951.093580000008</v>
      </c>
      <c r="AY61" s="204"/>
      <c r="AZ61" s="204"/>
      <c r="BA61" s="321">
        <f>AZ51*BA58</f>
        <v>35227.956021719998</v>
      </c>
      <c r="BB61" s="204"/>
    </row>
    <row r="62" spans="2:54" hidden="1"/>
    <row r="64" spans="2:54">
      <c r="C64" t="s">
        <v>1216</v>
      </c>
      <c r="AE64" t="s">
        <v>1264</v>
      </c>
    </row>
    <row r="66" spans="3:44">
      <c r="C66" s="1055" t="s">
        <v>697</v>
      </c>
      <c r="D66" s="311"/>
      <c r="E66" s="204"/>
      <c r="F66" s="204"/>
      <c r="G66" s="312"/>
      <c r="H66" s="313"/>
      <c r="I66" s="313"/>
      <c r="J66" s="313"/>
      <c r="K66" s="313"/>
      <c r="L66" s="313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1056">
        <v>0.49403030015745147</v>
      </c>
    </row>
    <row r="67" spans="3:44">
      <c r="C67" s="1055" t="s">
        <v>698</v>
      </c>
      <c r="D67" s="311"/>
      <c r="E67" s="204"/>
      <c r="F67" s="204"/>
      <c r="G67" s="312"/>
      <c r="H67" s="313"/>
      <c r="I67" s="313"/>
      <c r="J67" s="313"/>
      <c r="K67" s="313"/>
      <c r="L67" s="313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 t="s">
        <v>690</v>
      </c>
      <c r="AJ67" s="1023">
        <f>766122880.09/1000</f>
        <v>766122.88008999999</v>
      </c>
      <c r="AK67" s="1024">
        <v>0.37735344050407471</v>
      </c>
      <c r="AL67" s="204"/>
      <c r="AM67" s="204"/>
      <c r="AN67" s="204"/>
      <c r="AO67" s="204"/>
      <c r="AP67" s="204"/>
      <c r="AQ67" s="204"/>
      <c r="AR67" s="1055">
        <v>0.37735344050407471</v>
      </c>
    </row>
    <row r="68" spans="3:44" ht="30">
      <c r="C68" s="1022"/>
      <c r="AI68" s="1052" t="s">
        <v>592</v>
      </c>
      <c r="AJ68" s="1053">
        <f>1003006401.38/1000</f>
        <v>1003006.4013799999</v>
      </c>
      <c r="AK68" s="1054">
        <v>0.49403030015745147</v>
      </c>
    </row>
    <row r="69" spans="3:44">
      <c r="C69" s="1022"/>
      <c r="AK69" s="1022"/>
    </row>
    <row r="70" spans="3:44">
      <c r="C70" s="1022"/>
    </row>
    <row r="71" spans="3:44">
      <c r="C71" s="1022"/>
    </row>
    <row r="72" spans="3:44">
      <c r="C72" s="1022"/>
    </row>
  </sheetData>
  <mergeCells count="20">
    <mergeCell ref="AE3:AG3"/>
    <mergeCell ref="AB3:AD3"/>
    <mergeCell ref="B3:B4"/>
    <mergeCell ref="C3:C4"/>
    <mergeCell ref="D3:D4"/>
    <mergeCell ref="E3:F3"/>
    <mergeCell ref="G3:I3"/>
    <mergeCell ref="J3:L3"/>
    <mergeCell ref="M3:O3"/>
    <mergeCell ref="P3:R3"/>
    <mergeCell ref="S3:U3"/>
    <mergeCell ref="V3:X3"/>
    <mergeCell ref="Y3:AA3"/>
    <mergeCell ref="AH3:AJ3"/>
    <mergeCell ref="AQ3:AS3"/>
    <mergeCell ref="AT3:AV3"/>
    <mergeCell ref="AW3:AY3"/>
    <mergeCell ref="AZ3:BB3"/>
    <mergeCell ref="AK3:AM3"/>
    <mergeCell ref="AN3:AP3"/>
  </mergeCells>
  <pageMargins left="0.11811023622047245" right="0.11811023622047245" top="0" bottom="0" header="0.31496062992125984" footer="0.31496062992125984"/>
  <pageSetup paperSize="8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5"/>
  <sheetViews>
    <sheetView zoomScale="125" zoomScaleNormal="125" zoomScalePageLayoutView="125" workbookViewId="0">
      <pane xSplit="5" ySplit="7" topLeftCell="T325" activePane="bottomRight" state="frozen"/>
      <selection activeCell="I56" sqref="I56"/>
      <selection pane="topRight" activeCell="I56" sqref="I56"/>
      <selection pane="bottomLeft" activeCell="I56" sqref="I56"/>
      <selection pane="bottomRight" activeCell="AA1" sqref="AA1:AH1048576"/>
    </sheetView>
  </sheetViews>
  <sheetFormatPr defaultColWidth="8.85546875" defaultRowHeight="15" outlineLevelRow="2" outlineLevelCol="2"/>
  <cols>
    <col min="1" max="1" width="3.28515625" customWidth="1"/>
    <col min="2" max="2" width="4.42578125" customWidth="1"/>
    <col min="3" max="3" width="6.7109375" customWidth="1"/>
    <col min="4" max="4" width="25.42578125" customWidth="1"/>
    <col min="5" max="5" width="17.140625" customWidth="1"/>
    <col min="6" max="8" width="22" style="1" customWidth="1" outlineLevel="1"/>
    <col min="9" max="9" width="22" style="1" customWidth="1" outlineLevel="2"/>
    <col min="10" max="10" width="22" style="1" customWidth="1" outlineLevel="1"/>
    <col min="11" max="11" width="22" style="1" customWidth="1" outlineLevel="2"/>
    <col min="12" max="15" width="22" style="1" customWidth="1" outlineLevel="1"/>
    <col min="16" max="16" width="22" style="1" customWidth="1"/>
    <col min="17" max="17" width="15.28515625" style="2" customWidth="1"/>
    <col min="18" max="19" width="13.7109375" style="2" customWidth="1"/>
    <col min="20" max="20" width="12.7109375" style="1" hidden="1" customWidth="1" outlineLevel="1"/>
    <col min="21" max="21" width="3.42578125" style="1" hidden="1" customWidth="1" outlineLevel="1"/>
    <col min="22" max="22" width="5.7109375" style="1" hidden="1" customWidth="1" outlineLevel="1"/>
    <col min="23" max="23" width="16.28515625" style="1" hidden="1" customWidth="1" outlineLevel="1"/>
    <col min="24" max="24" width="16.85546875" style="1" hidden="1" customWidth="1" outlineLevel="1"/>
    <col min="25" max="25" width="13.42578125" style="1" hidden="1" customWidth="1" outlineLevel="1"/>
    <col min="26" max="26" width="22.140625" style="1" customWidth="1" outlineLevel="1"/>
    <col min="27" max="27" width="13" style="1" hidden="1" customWidth="1" outlineLevel="1"/>
    <col min="28" max="28" width="14.42578125" style="1" hidden="1" customWidth="1" outlineLevel="1"/>
    <col min="29" max="29" width="10.5703125" hidden="1" customWidth="1"/>
    <col min="30" max="31" width="5.42578125" hidden="1" customWidth="1"/>
    <col min="32" max="32" width="11.42578125" hidden="1" customWidth="1"/>
    <col min="33" max="33" width="10" hidden="1" customWidth="1"/>
    <col min="34" max="34" width="0" hidden="1" customWidth="1"/>
  </cols>
  <sheetData>
    <row r="1" spans="2:34">
      <c r="B1" s="1619" t="s">
        <v>1826</v>
      </c>
      <c r="C1" s="1619"/>
      <c r="D1" s="1619"/>
      <c r="E1" s="1619"/>
      <c r="F1" s="241"/>
      <c r="G1" s="241"/>
      <c r="H1" s="241"/>
      <c r="I1" s="241"/>
      <c r="J1" s="241"/>
      <c r="K1" s="241"/>
      <c r="W1" s="1" t="s">
        <v>1825</v>
      </c>
      <c r="X1" s="1">
        <v>1.0236561500000001</v>
      </c>
      <c r="Z1" s="1" t="s">
        <v>1829</v>
      </c>
      <c r="AF1" s="587"/>
      <c r="AG1" s="587"/>
    </row>
    <row r="2" spans="2:34">
      <c r="B2" s="962" t="s">
        <v>0</v>
      </c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861"/>
      <c r="S2" s="861"/>
      <c r="T2" s="118"/>
      <c r="U2" s="1126"/>
      <c r="V2" s="755">
        <v>1.034</v>
      </c>
      <c r="W2" s="1" t="s">
        <v>1815</v>
      </c>
      <c r="X2" s="1">
        <f>X18/U18</f>
        <v>1.2590617835999554</v>
      </c>
      <c r="Z2" s="1">
        <f>AH332</f>
        <v>1.0585380064087873</v>
      </c>
      <c r="AB2" s="755"/>
      <c r="AC2" s="1547" t="s">
        <v>1</v>
      </c>
      <c r="AD2" s="1547">
        <f>X124/U124</f>
        <v>1.0236561499999999</v>
      </c>
      <c r="AE2" s="1547"/>
      <c r="AF2" s="587" t="s">
        <v>1828</v>
      </c>
      <c r="AG2" s="587">
        <f>125897.73/114493.77</f>
        <v>1.0996033233948013</v>
      </c>
      <c r="AH2" s="1547"/>
    </row>
    <row r="3" spans="2:34" ht="15.75" thickBot="1">
      <c r="L3" s="653">
        <f>L9+L16+L88+L89+L104+L111</f>
        <v>505346.15624577051</v>
      </c>
      <c r="S3" s="1089"/>
      <c r="U3" s="755">
        <v>1.0298</v>
      </c>
      <c r="V3" s="755">
        <v>1.0192043500000001</v>
      </c>
      <c r="AF3" s="587"/>
      <c r="AG3" s="587"/>
    </row>
    <row r="4" spans="2:34" ht="14.45" customHeight="1" thickBot="1">
      <c r="B4" s="1622" t="s">
        <v>2</v>
      </c>
      <c r="C4" s="1624" t="s">
        <v>0</v>
      </c>
      <c r="D4" s="1624"/>
      <c r="E4" s="1626" t="s">
        <v>3</v>
      </c>
      <c r="F4" s="1628" t="s">
        <v>4</v>
      </c>
      <c r="G4" s="1621"/>
      <c r="H4" s="1629" t="s">
        <v>5</v>
      </c>
      <c r="I4" s="1621"/>
      <c r="J4" s="1629" t="s">
        <v>6</v>
      </c>
      <c r="K4" s="1630"/>
      <c r="L4" s="1629" t="s">
        <v>7</v>
      </c>
      <c r="M4" s="1631"/>
      <c r="N4" s="1621"/>
      <c r="O4" s="963"/>
      <c r="P4" s="1632" t="s">
        <v>692</v>
      </c>
      <c r="Q4" s="1633"/>
      <c r="R4" s="1633"/>
      <c r="S4" s="1634"/>
      <c r="T4" s="1635" t="s">
        <v>9</v>
      </c>
      <c r="U4" s="1636"/>
      <c r="V4" s="1637"/>
      <c r="W4" s="1620" t="s">
        <v>10</v>
      </c>
      <c r="X4" s="1621"/>
      <c r="Y4" s="1620" t="s">
        <v>11</v>
      </c>
      <c r="Z4" s="1621"/>
      <c r="AA4" s="1620" t="s">
        <v>12</v>
      </c>
      <c r="AB4" s="1621"/>
      <c r="AF4" s="587"/>
      <c r="AG4" s="587"/>
    </row>
    <row r="5" spans="2:34" ht="48" customHeight="1" thickBot="1">
      <c r="B5" s="1623"/>
      <c r="C5" s="1625"/>
      <c r="D5" s="1625"/>
      <c r="E5" s="1627"/>
      <c r="F5" s="3" t="s">
        <v>13</v>
      </c>
      <c r="G5" s="4" t="s">
        <v>14</v>
      </c>
      <c r="H5" s="5" t="s">
        <v>13</v>
      </c>
      <c r="I5" s="4" t="s">
        <v>14</v>
      </c>
      <c r="J5" s="5" t="s">
        <v>13</v>
      </c>
      <c r="K5" s="242" t="s">
        <v>14</v>
      </c>
      <c r="L5" s="120" t="s">
        <v>13</v>
      </c>
      <c r="M5" s="244" t="s">
        <v>15</v>
      </c>
      <c r="N5" s="121" t="s">
        <v>639</v>
      </c>
      <c r="O5" s="406" t="s">
        <v>883</v>
      </c>
      <c r="P5" s="775" t="s">
        <v>16</v>
      </c>
      <c r="Q5" s="776" t="s">
        <v>17</v>
      </c>
      <c r="R5" s="777" t="s">
        <v>693</v>
      </c>
      <c r="S5" s="806" t="s">
        <v>1361</v>
      </c>
      <c r="T5" s="1097" t="s">
        <v>16</v>
      </c>
      <c r="U5" s="1098" t="s">
        <v>17</v>
      </c>
      <c r="V5" s="1099" t="s">
        <v>693</v>
      </c>
      <c r="W5" s="5" t="s">
        <v>16</v>
      </c>
      <c r="X5" s="4" t="s">
        <v>17</v>
      </c>
      <c r="Y5" s="5" t="s">
        <v>16</v>
      </c>
      <c r="Z5" s="4" t="s">
        <v>17</v>
      </c>
      <c r="AA5" s="5" t="s">
        <v>16</v>
      </c>
      <c r="AB5" s="4" t="s">
        <v>17</v>
      </c>
      <c r="AF5" s="587"/>
      <c r="AG5" s="587"/>
    </row>
    <row r="6" spans="2:34" ht="27.6" customHeight="1">
      <c r="B6" s="1623"/>
      <c r="C6" s="6"/>
      <c r="D6" s="7" t="s">
        <v>18</v>
      </c>
      <c r="E6" s="8"/>
      <c r="F6" s="9" t="str">
        <f>[8]Титульный!$E$17</f>
        <v>да</v>
      </c>
      <c r="G6" s="964" t="str">
        <f>[8]Титульный!$E$17</f>
        <v>да</v>
      </c>
      <c r="H6" s="964" t="str">
        <f>[8]Титульный!$E$17</f>
        <v>да</v>
      </c>
      <c r="I6" s="964" t="str">
        <f>[8]Титульный!$E$17</f>
        <v>да</v>
      </c>
      <c r="J6" s="964" t="str">
        <f>[8]Титульный!$E$17</f>
        <v>да</v>
      </c>
      <c r="K6" s="964" t="str">
        <f>[8]Титульный!$E$17</f>
        <v>да</v>
      </c>
      <c r="L6" s="243" t="str">
        <f>[8]Титульный!$E$17</f>
        <v>да</v>
      </c>
      <c r="M6" s="243" t="str">
        <f>[8]Титульный!$E$17</f>
        <v>да</v>
      </c>
      <c r="N6" s="243" t="s">
        <v>520</v>
      </c>
      <c r="O6" s="764"/>
      <c r="P6" s="773" t="str">
        <f>[8]Титульный!$E$17</f>
        <v>да</v>
      </c>
      <c r="Q6" s="774" t="str">
        <f>[8]Титульный!$E$17</f>
        <v>да</v>
      </c>
      <c r="R6" s="774"/>
      <c r="S6" s="807"/>
      <c r="T6" s="829"/>
      <c r="U6" s="778"/>
      <c r="V6" s="830"/>
      <c r="W6" s="1117"/>
      <c r="X6" s="1118"/>
      <c r="Y6" s="1117"/>
      <c r="Z6" s="1118"/>
      <c r="AA6" s="1117"/>
      <c r="AB6" s="1118"/>
    </row>
    <row r="7" spans="2:34" ht="14.45" customHeight="1" thickBot="1">
      <c r="B7" s="1623"/>
      <c r="C7" s="779"/>
      <c r="D7" s="780" t="str">
        <f>IF(CALC_IDENTIFIER="","",CALC_IDENTIFIER)</f>
        <v>Вид воды</v>
      </c>
      <c r="E7" s="781"/>
      <c r="F7" s="782" t="s">
        <v>19</v>
      </c>
      <c r="G7" s="783" t="str">
        <f>F7</f>
        <v>питьевая</v>
      </c>
      <c r="H7" s="783" t="str">
        <f t="shared" ref="H7:AB7" si="0">G7</f>
        <v>питьевая</v>
      </c>
      <c r="I7" s="783" t="str">
        <f t="shared" si="0"/>
        <v>питьевая</v>
      </c>
      <c r="J7" s="783" t="str">
        <f t="shared" si="0"/>
        <v>питьевая</v>
      </c>
      <c r="K7" s="783" t="str">
        <f t="shared" si="0"/>
        <v>питьевая</v>
      </c>
      <c r="L7" s="783" t="str">
        <f t="shared" si="0"/>
        <v>питьевая</v>
      </c>
      <c r="M7" s="783" t="str">
        <f t="shared" si="0"/>
        <v>питьевая</v>
      </c>
      <c r="N7" s="783" t="str">
        <f>M7</f>
        <v>питьевая</v>
      </c>
      <c r="O7" s="784"/>
      <c r="P7" s="783" t="str">
        <f>M7</f>
        <v>питьевая</v>
      </c>
      <c r="Q7" s="785" t="str">
        <f t="shared" si="0"/>
        <v>питьевая</v>
      </c>
      <c r="R7" s="785"/>
      <c r="S7" s="808"/>
      <c r="T7" s="831" t="str">
        <f>Q7</f>
        <v>питьевая</v>
      </c>
      <c r="U7" s="10" t="str">
        <f t="shared" si="0"/>
        <v>питьевая</v>
      </c>
      <c r="V7" s="11"/>
      <c r="W7" s="831" t="str">
        <f>U7</f>
        <v>питьевая</v>
      </c>
      <c r="X7" s="11" t="str">
        <f t="shared" si="0"/>
        <v>питьевая</v>
      </c>
      <c r="Y7" s="831" t="str">
        <f t="shared" si="0"/>
        <v>питьевая</v>
      </c>
      <c r="Z7" s="11" t="str">
        <f t="shared" si="0"/>
        <v>питьевая</v>
      </c>
      <c r="AA7" s="831" t="str">
        <f t="shared" si="0"/>
        <v>питьевая</v>
      </c>
      <c r="AB7" s="11" t="str">
        <f t="shared" si="0"/>
        <v>питьевая</v>
      </c>
    </row>
    <row r="8" spans="2:34" ht="21">
      <c r="B8" s="786"/>
      <c r="C8" s="965" t="s">
        <v>20</v>
      </c>
      <c r="D8" s="965" t="s">
        <v>21</v>
      </c>
      <c r="E8" s="966" t="s">
        <v>22</v>
      </c>
      <c r="F8" s="967">
        <f t="shared" ref="F8:AB8" si="1">SUM(F9,F16,F88,F89,F102,F103,F104,F111)</f>
        <v>497880.54733045516</v>
      </c>
      <c r="G8" s="967">
        <f t="shared" si="1"/>
        <v>507442.83884792606</v>
      </c>
      <c r="H8" s="967">
        <f t="shared" si="1"/>
        <v>501777.66360946128</v>
      </c>
      <c r="I8" s="967">
        <f t="shared" si="1"/>
        <v>553986.16339333053</v>
      </c>
      <c r="J8" s="967">
        <f t="shared" si="1"/>
        <v>526625.45485090127</v>
      </c>
      <c r="K8" s="967">
        <f t="shared" si="1"/>
        <v>558221.49891377497</v>
      </c>
      <c r="L8" s="967">
        <f t="shared" si="1"/>
        <v>533534.67624577053</v>
      </c>
      <c r="M8" s="967">
        <f>SUM(M9,M16,M88,M89,M102,M103,M104,M111)</f>
        <v>602684.99979762838</v>
      </c>
      <c r="N8" s="967">
        <f>SUM(N9,N16,N88,N89,N102,N103,N104,N111)</f>
        <v>645649.68882820813</v>
      </c>
      <c r="O8" s="809">
        <f>O9+O17+O22</f>
        <v>586208.53352926823</v>
      </c>
      <c r="P8" s="967">
        <f t="shared" si="1"/>
        <v>614811.60473770089</v>
      </c>
      <c r="Q8" s="968">
        <f t="shared" si="1"/>
        <v>539751.6998171336</v>
      </c>
      <c r="R8" s="967">
        <f>SUM(R9,R16,R88,R89,R102,R103,R104,R111)</f>
        <v>680143.74407146126</v>
      </c>
      <c r="S8" s="809">
        <f>SUM(S9,S16,S88,S89,S102,S103,S104,S111)</f>
        <v>675499.02705832163</v>
      </c>
      <c r="T8" s="1100">
        <f>SUM(T9,T16,T88,T89,T102,T103,T104,T111)</f>
        <v>698958.36705955793</v>
      </c>
      <c r="U8" s="12">
        <f t="shared" si="1"/>
        <v>556258.40227779665</v>
      </c>
      <c r="V8" s="12">
        <f t="shared" si="1"/>
        <v>739966.24802712491</v>
      </c>
      <c r="W8" s="1100">
        <f t="shared" si="1"/>
        <v>775636.5914839328</v>
      </c>
      <c r="X8" s="969">
        <f t="shared" si="1"/>
        <v>597510.79476900259</v>
      </c>
      <c r="Y8" s="1100">
        <f t="shared" si="1"/>
        <v>799032.32779413136</v>
      </c>
      <c r="Z8" s="969">
        <f t="shared" si="1"/>
        <v>602719.59962225996</v>
      </c>
      <c r="AA8" s="1100">
        <f t="shared" si="1"/>
        <v>821119.92440390657</v>
      </c>
      <c r="AB8" s="969">
        <f t="shared" si="1"/>
        <v>19347.8470730804</v>
      </c>
    </row>
    <row r="9" spans="2:34" ht="31.5">
      <c r="B9" s="787" t="s">
        <v>23</v>
      </c>
      <c r="C9" s="14" t="s">
        <v>24</v>
      </c>
      <c r="D9" s="15" t="s">
        <v>25</v>
      </c>
      <c r="E9" s="16" t="s">
        <v>22</v>
      </c>
      <c r="F9" s="17">
        <f>F10+F14+F15</f>
        <v>88365.031213215232</v>
      </c>
      <c r="G9" s="17">
        <f t="shared" ref="G9:AB9" si="2">G10+G14+G15</f>
        <v>105728.81200044602</v>
      </c>
      <c r="H9" s="17">
        <f t="shared" si="2"/>
        <v>109769.92000000001</v>
      </c>
      <c r="I9" s="17">
        <f t="shared" si="2"/>
        <v>147147.77000000002</v>
      </c>
      <c r="J9" s="17">
        <f t="shared" si="2"/>
        <v>116188.83395141998</v>
      </c>
      <c r="K9" s="17">
        <f t="shared" si="2"/>
        <v>159309.97402868999</v>
      </c>
      <c r="L9" s="17">
        <f>L10+L14+L15+0.01</f>
        <v>119282.96361976625</v>
      </c>
      <c r="M9" s="17">
        <f t="shared" si="2"/>
        <v>142318.6318380954</v>
      </c>
      <c r="N9" s="17">
        <f>N10+N14+N15</f>
        <v>143485.67500000002</v>
      </c>
      <c r="O9" s="765">
        <f>'К ВС'!N322</f>
        <v>590363.75774170004</v>
      </c>
      <c r="P9" s="17">
        <f t="shared" si="2"/>
        <v>146863.35966883521</v>
      </c>
      <c r="Q9" s="18">
        <f t="shared" si="2"/>
        <v>141420.38416057749</v>
      </c>
      <c r="R9" s="17">
        <f>R10+R14+R15</f>
        <v>155005.27686592398</v>
      </c>
      <c r="S9" s="770">
        <f>S10+S14+S15</f>
        <v>153575.70591012167</v>
      </c>
      <c r="T9" s="1101">
        <f t="shared" si="2"/>
        <v>166717.98009534748</v>
      </c>
      <c r="U9" s="17">
        <f t="shared" si="2"/>
        <v>145634.71160856273</v>
      </c>
      <c r="V9" s="17">
        <f t="shared" si="2"/>
        <v>166942.73707494748</v>
      </c>
      <c r="W9" s="1101">
        <f t="shared" si="2"/>
        <v>174339.18455152248</v>
      </c>
      <c r="X9" s="970">
        <f>X10+X14+X15</f>
        <v>149079.86819158166</v>
      </c>
      <c r="Y9" s="1101">
        <f t="shared" si="2"/>
        <v>177243.72901132156</v>
      </c>
      <c r="Z9" s="970">
        <f>Z10+Z14+Z15</f>
        <v>157806.70647120164</v>
      </c>
      <c r="AA9" s="1101">
        <f t="shared" si="2"/>
        <v>180344.43115892806</v>
      </c>
      <c r="AB9" s="970">
        <f t="shared" si="2"/>
        <v>0</v>
      </c>
      <c r="AC9" s="1539">
        <f>X9/U9</f>
        <v>1.0236561500000001</v>
      </c>
    </row>
    <row r="10" spans="2:34" ht="42">
      <c r="B10" s="788"/>
      <c r="C10" s="20" t="s">
        <v>26</v>
      </c>
      <c r="D10" s="21" t="s">
        <v>27</v>
      </c>
      <c r="E10" s="16" t="s">
        <v>22</v>
      </c>
      <c r="F10" s="22">
        <v>75317.132345999984</v>
      </c>
      <c r="G10" s="22">
        <v>89159.202000446021</v>
      </c>
      <c r="H10" s="22">
        <v>98678.530000000013</v>
      </c>
      <c r="I10" s="22">
        <v>133628.00000000003</v>
      </c>
      <c r="J10" s="22">
        <v>104769.14693291999</v>
      </c>
      <c r="K10" s="22">
        <v>146193.62983198999</v>
      </c>
      <c r="L10" s="22">
        <v>107559.1503359636</v>
      </c>
      <c r="M10" s="22">
        <v>128788.25275182498</v>
      </c>
      <c r="N10" s="22">
        <v>125321.69500000001</v>
      </c>
      <c r="O10" s="765">
        <f>N10-L10</f>
        <v>17762.54466403641</v>
      </c>
      <c r="P10" s="22">
        <v>132791.765419114</v>
      </c>
      <c r="Q10" s="23">
        <v>127361.34713974211</v>
      </c>
      <c r="R10" s="22">
        <f>'расшифровки ВС'!M65</f>
        <v>130737.14202592397</v>
      </c>
      <c r="S10" s="768">
        <f>'расшифровки ВС'!M65</f>
        <v>130737.14202592397</v>
      </c>
      <c r="T10" s="254">
        <f>'расшифровки ВС'!O65</f>
        <v>142580.51873104725</v>
      </c>
      <c r="U10" s="22">
        <f t="shared" ref="U10:U15" si="3">Q10*$U$3</f>
        <v>131156.71528450644</v>
      </c>
      <c r="V10" s="22">
        <f>'расшифровки ВС'!O65</f>
        <v>142580.51873104725</v>
      </c>
      <c r="W10" s="22">
        <f>'расшифровки ВС'!Q65</f>
        <v>149360.72571690127</v>
      </c>
      <c r="X10" s="971">
        <f>U10*X1</f>
        <v>134259.37821478402</v>
      </c>
      <c r="Y10" s="254">
        <f>'расшифровки ВС'!S65</f>
        <v>151897.27704632777</v>
      </c>
      <c r="Z10" s="971">
        <f>X10*Z2</f>
        <v>142118.65455716086</v>
      </c>
      <c r="AA10" s="254">
        <f>'расшифровки ВС'!U65</f>
        <v>154491.0501546344</v>
      </c>
      <c r="AB10" s="971">
        <v>0</v>
      </c>
      <c r="AC10" s="134">
        <f>'К ВО'!T10</f>
        <v>135058.37599999999</v>
      </c>
      <c r="AD10" s="134">
        <f t="shared" ref="AD10:AD15" si="4">T10+AC10</f>
        <v>277638.89473104721</v>
      </c>
    </row>
    <row r="11" spans="2:34" hidden="1">
      <c r="B11" s="788"/>
      <c r="C11" s="20"/>
      <c r="D11" s="24" t="s">
        <v>28</v>
      </c>
      <c r="E11" s="25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765">
        <f t="shared" ref="O11:O72" si="5">N11-L11</f>
        <v>0</v>
      </c>
      <c r="P11" s="22"/>
      <c r="Q11" s="23"/>
      <c r="R11" s="23"/>
      <c r="S11" s="810"/>
      <c r="T11" s="254"/>
      <c r="U11" s="22">
        <f t="shared" si="3"/>
        <v>0</v>
      </c>
      <c r="V11" s="971"/>
      <c r="W11" s="254"/>
      <c r="X11" s="971"/>
      <c r="Y11" s="254"/>
      <c r="Z11" s="971"/>
      <c r="AA11" s="254"/>
      <c r="AB11" s="971"/>
      <c r="AD11" s="134">
        <f t="shared" si="4"/>
        <v>0</v>
      </c>
    </row>
    <row r="12" spans="2:34" ht="21" hidden="1">
      <c r="B12" s="788"/>
      <c r="C12" s="20"/>
      <c r="D12" s="24" t="s">
        <v>30</v>
      </c>
      <c r="E12" s="25" t="s">
        <v>31</v>
      </c>
      <c r="F12" s="22"/>
      <c r="G12" s="22"/>
      <c r="H12" s="22"/>
      <c r="I12" s="22"/>
      <c r="J12" s="22"/>
      <c r="K12" s="22"/>
      <c r="L12" s="22"/>
      <c r="M12" s="22"/>
      <c r="N12" s="22"/>
      <c r="O12" s="765">
        <f t="shared" si="5"/>
        <v>0</v>
      </c>
      <c r="P12" s="22"/>
      <c r="Q12" s="23"/>
      <c r="R12" s="23"/>
      <c r="S12" s="810"/>
      <c r="T12" s="254"/>
      <c r="U12" s="22">
        <f t="shared" si="3"/>
        <v>0</v>
      </c>
      <c r="V12" s="971"/>
      <c r="W12" s="254"/>
      <c r="X12" s="971"/>
      <c r="Y12" s="254"/>
      <c r="Z12" s="971"/>
      <c r="AA12" s="254"/>
      <c r="AB12" s="971"/>
      <c r="AD12" s="134">
        <f t="shared" si="4"/>
        <v>0</v>
      </c>
    </row>
    <row r="13" spans="2:34" hidden="1">
      <c r="B13" s="788"/>
      <c r="C13" s="20"/>
      <c r="D13" s="24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765">
        <f t="shared" si="5"/>
        <v>0</v>
      </c>
      <c r="P13" s="22"/>
      <c r="Q13" s="23"/>
      <c r="R13" s="23"/>
      <c r="S13" s="810"/>
      <c r="T13" s="254"/>
      <c r="U13" s="22">
        <f t="shared" si="3"/>
        <v>0</v>
      </c>
      <c r="V13" s="971"/>
      <c r="W13" s="254"/>
      <c r="X13" s="971"/>
      <c r="Y13" s="254"/>
      <c r="Z13" s="971"/>
      <c r="AA13" s="254"/>
      <c r="AB13" s="971"/>
      <c r="AD13" s="134">
        <f t="shared" si="4"/>
        <v>0</v>
      </c>
    </row>
    <row r="14" spans="2:34" ht="21">
      <c r="B14" s="788"/>
      <c r="C14" s="20" t="s">
        <v>32</v>
      </c>
      <c r="D14" s="21" t="s">
        <v>33</v>
      </c>
      <c r="E14" s="16" t="s">
        <v>22</v>
      </c>
      <c r="F14" s="22">
        <v>7355.7388672152447</v>
      </c>
      <c r="G14" s="22">
        <v>7625.6100000000006</v>
      </c>
      <c r="H14" s="22">
        <v>8125.5</v>
      </c>
      <c r="I14" s="22">
        <v>10060.520000000002</v>
      </c>
      <c r="J14" s="22">
        <v>8366.0066744999986</v>
      </c>
      <c r="K14" s="22">
        <v>8154.518196699999</v>
      </c>
      <c r="L14" s="22">
        <v>8588.8034322419335</v>
      </c>
      <c r="M14" s="22">
        <v>8435.0799668704021</v>
      </c>
      <c r="N14" s="22">
        <f>10578.061+2345.735-182.8</f>
        <v>12740.996000000001</v>
      </c>
      <c r="O14" s="765">
        <f t="shared" si="5"/>
        <v>4152.1925677580675</v>
      </c>
      <c r="P14" s="22">
        <v>8772.4831655452181</v>
      </c>
      <c r="Q14" s="23">
        <v>8759.9259366593997</v>
      </c>
      <c r="R14" s="22">
        <f>N14*1.04</f>
        <v>13250.635840000001</v>
      </c>
      <c r="S14" s="768">
        <f>'расшифровки ВС'!M76</f>
        <v>11821.064884197684</v>
      </c>
      <c r="T14" s="254">
        <f>'расшифровки ВС'!O76</f>
        <v>12899.612384300202</v>
      </c>
      <c r="U14" s="22">
        <f t="shared" si="3"/>
        <v>9020.971729571851</v>
      </c>
      <c r="V14" s="971">
        <f>'расшифровки ВС'!O76</f>
        <v>12899.612384300202</v>
      </c>
      <c r="W14" s="254">
        <f>V14*1.03</f>
        <v>13286.600755829209</v>
      </c>
      <c r="X14" s="971">
        <f>U14*X1</f>
        <v>9234.3731899523627</v>
      </c>
      <c r="Y14" s="254">
        <f>'расшифровки ВС'!S76</f>
        <v>13420.75672462593</v>
      </c>
      <c r="Z14" s="971">
        <f>X14*Z2</f>
        <v>9774.9349869269281</v>
      </c>
      <c r="AA14" s="254">
        <f>'расшифровки ВС'!U76</f>
        <v>13689.171859118449</v>
      </c>
      <c r="AB14" s="971">
        <v>0</v>
      </c>
      <c r="AC14" s="134">
        <f>'К ВО'!T13</f>
        <v>8607.9488809859995</v>
      </c>
      <c r="AD14" s="134">
        <f t="shared" si="4"/>
        <v>21507.561265286204</v>
      </c>
    </row>
    <row r="15" spans="2:34" ht="21">
      <c r="B15" s="788"/>
      <c r="C15" s="20" t="s">
        <v>34</v>
      </c>
      <c r="D15" s="21" t="s">
        <v>35</v>
      </c>
      <c r="E15" s="16" t="s">
        <v>22</v>
      </c>
      <c r="F15" s="22">
        <v>5692.16</v>
      </c>
      <c r="G15" s="22">
        <v>8944</v>
      </c>
      <c r="H15" s="22">
        <v>2965.89</v>
      </c>
      <c r="I15" s="22">
        <v>3459.25</v>
      </c>
      <c r="J15" s="22">
        <v>3053.6803439999999</v>
      </c>
      <c r="K15" s="22">
        <v>4961.8260000000009</v>
      </c>
      <c r="L15" s="22">
        <v>3134.9998515607199</v>
      </c>
      <c r="M15" s="22">
        <v>5095.2991194000006</v>
      </c>
      <c r="N15" s="22">
        <f>1560.488+711.638+3150.858</f>
        <v>5422.9840000000004</v>
      </c>
      <c r="O15" s="765">
        <f t="shared" si="5"/>
        <v>2287.9841484392805</v>
      </c>
      <c r="P15" s="22">
        <v>5299.111084176001</v>
      </c>
      <c r="Q15" s="23">
        <v>5299.111084176001</v>
      </c>
      <c r="R15" s="22">
        <f>'расшифровки ВС'!M85</f>
        <v>11017.499</v>
      </c>
      <c r="S15" s="768">
        <f>2426.757+844.457+7679.643+66.642</f>
        <v>11017.499</v>
      </c>
      <c r="T15" s="254">
        <f>'расшифровки ВС'!O85</f>
        <v>11237.848980000001</v>
      </c>
      <c r="U15" s="22">
        <f t="shared" si="3"/>
        <v>5457.0245944844464</v>
      </c>
      <c r="V15" s="971">
        <f>'расшифровки ВС'!P85</f>
        <v>11462.605959600001</v>
      </c>
      <c r="W15" s="254">
        <f>'расшифровки ВС'!Q85</f>
        <v>11691.858078792002</v>
      </c>
      <c r="X15" s="971">
        <f>U15*X1</f>
        <v>5586.1167868452603</v>
      </c>
      <c r="Y15" s="254">
        <f>'расшифровки ВС'!S85</f>
        <v>11925.695240367842</v>
      </c>
      <c r="Z15" s="971">
        <f>X15*Z2</f>
        <v>5913.1169271138424</v>
      </c>
      <c r="AA15" s="254">
        <f>'расшифровки ВС'!U85</f>
        <v>12164.2091451752</v>
      </c>
      <c r="AB15" s="971">
        <v>0</v>
      </c>
      <c r="AC15" s="134">
        <f>'К ВО'!T14</f>
        <v>9256.2183999999997</v>
      </c>
      <c r="AD15" s="134">
        <f t="shared" si="4"/>
        <v>20494.06738</v>
      </c>
    </row>
    <row r="16" spans="2:34" ht="21">
      <c r="B16" s="789" t="s">
        <v>36</v>
      </c>
      <c r="C16" s="14" t="s">
        <v>37</v>
      </c>
      <c r="D16" s="15" t="s">
        <v>38</v>
      </c>
      <c r="E16" s="16" t="s">
        <v>22</v>
      </c>
      <c r="F16" s="17">
        <f t="shared" ref="F16:AB16" si="6">SUM(F18,F78,F79,F80,F81)</f>
        <v>116277.57063724</v>
      </c>
      <c r="G16" s="17">
        <f t="shared" si="6"/>
        <v>107041.49038900001</v>
      </c>
      <c r="H16" s="17">
        <f t="shared" si="6"/>
        <v>115557.870075</v>
      </c>
      <c r="I16" s="17">
        <f t="shared" si="6"/>
        <v>105498.6327743</v>
      </c>
      <c r="J16" s="17">
        <f t="shared" si="6"/>
        <v>122810.6628324</v>
      </c>
      <c r="K16" s="17">
        <f t="shared" si="6"/>
        <v>110553.8501286</v>
      </c>
      <c r="L16" s="17">
        <f t="shared" si="6"/>
        <v>125931.74262476957</v>
      </c>
      <c r="M16" s="17">
        <f t="shared" si="6"/>
        <v>118720.39421275599</v>
      </c>
      <c r="N16" s="17">
        <f>SUM(N18,N78,N79,N80,N81)</f>
        <v>125555.68150020801</v>
      </c>
      <c r="O16" s="765">
        <f t="shared" si="5"/>
        <v>-376.06112456155824</v>
      </c>
      <c r="P16" s="17">
        <f t="shared" si="6"/>
        <v>122545.88002471623</v>
      </c>
      <c r="Q16" s="18">
        <f t="shared" si="6"/>
        <v>112451.71966314157</v>
      </c>
      <c r="R16" s="17">
        <f>SUM(R18,R78,R79,R80,R81)</f>
        <v>133374.41548259999</v>
      </c>
      <c r="S16" s="770">
        <f>SUM(S18,S78,S79,S80,S81)</f>
        <v>139159.6738582</v>
      </c>
      <c r="T16" s="1101">
        <f>SUM(T18,T78,T79,T80,T81)</f>
        <v>134625.72071055841</v>
      </c>
      <c r="U16" s="17">
        <f t="shared" si="6"/>
        <v>116280.42650538744</v>
      </c>
      <c r="V16" s="17">
        <f t="shared" si="6"/>
        <v>155518.83085049997</v>
      </c>
      <c r="W16" s="1101">
        <f t="shared" si="6"/>
        <v>169977.52338424249</v>
      </c>
      <c r="X16" s="970">
        <f>SUM(X18,X78,X79,X80,X81)</f>
        <v>147272.03532749997</v>
      </c>
      <c r="Y16" s="1101">
        <f t="shared" si="6"/>
        <v>184595.62165392539</v>
      </c>
      <c r="Z16" s="970">
        <v>127281.8</v>
      </c>
      <c r="AA16" s="1101">
        <f t="shared" si="6"/>
        <v>201104.72287701134</v>
      </c>
      <c r="AB16" s="970">
        <f t="shared" si="6"/>
        <v>19347.8470730804</v>
      </c>
    </row>
    <row r="17" spans="2:30" ht="21">
      <c r="B17" s="788"/>
      <c r="C17" s="14"/>
      <c r="D17" s="27" t="s">
        <v>39</v>
      </c>
      <c r="E17" s="16" t="s">
        <v>40</v>
      </c>
      <c r="F17" s="17"/>
      <c r="G17" s="17"/>
      <c r="H17" s="17"/>
      <c r="I17" s="17"/>
      <c r="J17" s="17"/>
      <c r="K17" s="17"/>
      <c r="L17" s="17"/>
      <c r="M17" s="17"/>
      <c r="N17" s="686">
        <f>'Расчёт ВС методом индексации'!O20</f>
        <v>0.75578756819798887</v>
      </c>
      <c r="O17" s="766">
        <f t="shared" si="5"/>
        <v>0.75578756819798887</v>
      </c>
      <c r="P17" s="686"/>
      <c r="Q17" s="687"/>
      <c r="R17" s="811">
        <f>'Расчёт ВС методом индексации'!P20</f>
        <v>0.71060637516874581</v>
      </c>
      <c r="S17" s="811">
        <v>0.56399999999999995</v>
      </c>
      <c r="T17" s="1102">
        <f>'Расчёт ВС методом индексации'!R20</f>
        <v>0.56899999999999995</v>
      </c>
      <c r="U17" s="811">
        <v>0.56999999999999995</v>
      </c>
      <c r="V17" s="811">
        <v>0.56899999999999995</v>
      </c>
      <c r="W17" s="811">
        <v>0.56799999999999995</v>
      </c>
      <c r="X17" s="811">
        <v>0.56999999999999995</v>
      </c>
      <c r="Y17" s="811">
        <v>0.56999999999999995</v>
      </c>
      <c r="Z17" s="811"/>
      <c r="AA17" s="811">
        <v>0.57199999999999995</v>
      </c>
      <c r="AB17" s="972"/>
    </row>
    <row r="18" spans="2:30">
      <c r="B18" s="788"/>
      <c r="C18" s="14" t="s">
        <v>41</v>
      </c>
      <c r="D18" s="21" t="s">
        <v>42</v>
      </c>
      <c r="E18" s="16" t="s">
        <v>22</v>
      </c>
      <c r="F18" s="17">
        <v>99221.137437240002</v>
      </c>
      <c r="G18" s="17">
        <v>89004.966489000013</v>
      </c>
      <c r="H18" s="17">
        <v>96985.123200000002</v>
      </c>
      <c r="I18" s="17">
        <v>85528.462427999999</v>
      </c>
      <c r="J18" s="17">
        <v>103386.4615</v>
      </c>
      <c r="K18" s="17">
        <v>89513.111502600004</v>
      </c>
      <c r="L18" s="17">
        <v>105015.211814471</v>
      </c>
      <c r="M18" s="17">
        <v>95431.691352755995</v>
      </c>
      <c r="N18" s="17">
        <f>N60</f>
        <v>99451.700528768008</v>
      </c>
      <c r="O18" s="765">
        <f t="shared" si="5"/>
        <v>-5563.511285702989</v>
      </c>
      <c r="P18" s="17">
        <v>98895.317500000005</v>
      </c>
      <c r="Q18" s="18">
        <v>90138.072166706173</v>
      </c>
      <c r="R18" s="17">
        <f>R60</f>
        <v>105381.37538459999</v>
      </c>
      <c r="S18" s="770">
        <v>109072.12</v>
      </c>
      <c r="T18" s="1101">
        <f>T22*T42+T21*T41</f>
        <v>109494.6125609584</v>
      </c>
      <c r="U18" s="17">
        <f>U22*U42+U21*U41-1.05</f>
        <v>93538.245330000005</v>
      </c>
      <c r="V18" s="970">
        <f>V60</f>
        <v>128034.08271049999</v>
      </c>
      <c r="W18" s="1101">
        <f>'расшифровки ВС'!Q98</f>
        <v>140475.9225556</v>
      </c>
      <c r="X18" s="970">
        <v>117770.43</v>
      </c>
      <c r="Y18" s="1101">
        <f>Y60</f>
        <v>154525.803999</v>
      </c>
      <c r="Z18" s="970">
        <v>127281.8</v>
      </c>
      <c r="AA18" s="1101">
        <f>AA60</f>
        <v>170006.52425799999</v>
      </c>
      <c r="AB18" s="970">
        <v>0</v>
      </c>
      <c r="AC18" s="134"/>
      <c r="AD18" s="134"/>
    </row>
    <row r="19" spans="2:30" outlineLevel="2">
      <c r="B19" s="788"/>
      <c r="C19" s="28" t="s">
        <v>43</v>
      </c>
      <c r="D19" s="29" t="s">
        <v>44</v>
      </c>
      <c r="E19" s="16"/>
      <c r="F19" s="30"/>
      <c r="G19" s="30"/>
      <c r="H19" s="30"/>
      <c r="I19" s="30"/>
      <c r="J19" s="30"/>
      <c r="K19" s="30"/>
      <c r="L19" s="30"/>
      <c r="M19" s="30"/>
      <c r="N19" s="30"/>
      <c r="O19" s="765">
        <f t="shared" si="5"/>
        <v>0</v>
      </c>
      <c r="P19" s="30"/>
      <c r="Q19" s="31"/>
      <c r="R19" s="31"/>
      <c r="S19" s="812"/>
      <c r="T19" s="1103"/>
      <c r="U19" s="30"/>
      <c r="V19" s="973"/>
      <c r="W19" s="1103"/>
      <c r="X19" s="973"/>
      <c r="Y19" s="1103"/>
      <c r="Z19" s="973"/>
      <c r="AA19" s="1103"/>
      <c r="AB19" s="973"/>
      <c r="AD19" s="134"/>
    </row>
    <row r="20" spans="2:30" ht="42" outlineLevel="2">
      <c r="B20" s="788"/>
      <c r="C20" s="28" t="s">
        <v>45</v>
      </c>
      <c r="D20" s="32" t="s">
        <v>46</v>
      </c>
      <c r="E20" s="16" t="s">
        <v>47</v>
      </c>
      <c r="F20" s="17">
        <v>31523.800000000003</v>
      </c>
      <c r="G20" s="17">
        <v>29722.300000000003</v>
      </c>
      <c r="H20" s="17">
        <v>31272.7</v>
      </c>
      <c r="I20" s="17">
        <v>25845.46</v>
      </c>
      <c r="J20" s="17">
        <v>31272.7</v>
      </c>
      <c r="K20" s="17">
        <v>26486.456999999999</v>
      </c>
      <c r="L20" s="17">
        <v>31272.7</v>
      </c>
      <c r="M20" s="17">
        <v>26626.456999999999</v>
      </c>
      <c r="N20" s="17">
        <f>N21+N22</f>
        <v>27288.670000000002</v>
      </c>
      <c r="O20" s="765">
        <f t="shared" si="5"/>
        <v>-3984.0299999999988</v>
      </c>
      <c r="P20" s="17">
        <v>26457.11</v>
      </c>
      <c r="Q20" s="18">
        <v>25140.333264461446</v>
      </c>
      <c r="R20" s="17">
        <f>R21+R22</f>
        <v>27636.449999999997</v>
      </c>
      <c r="S20" s="770">
        <f>S21+S22</f>
        <v>27118.904999999999</v>
      </c>
      <c r="T20" s="1101">
        <f>T21+T22</f>
        <v>27836.66</v>
      </c>
      <c r="U20" s="17">
        <v>0</v>
      </c>
      <c r="V20" s="970">
        <f>V21+V22</f>
        <v>27375.683000000001</v>
      </c>
      <c r="W20" s="1101">
        <f>'расшифровки ВС'!Q100</f>
        <v>27305.867000000002</v>
      </c>
      <c r="X20" s="970">
        <v>0</v>
      </c>
      <c r="Y20" s="1101">
        <f>Y21+Y22</f>
        <v>27309.065999999999</v>
      </c>
      <c r="Z20" s="970">
        <v>0</v>
      </c>
      <c r="AA20" s="1101">
        <f>AA21+AA22</f>
        <v>27314.065999999999</v>
      </c>
      <c r="AB20" s="970">
        <v>0</v>
      </c>
      <c r="AD20" s="134"/>
    </row>
    <row r="21" spans="2:30" outlineLevel="2">
      <c r="B21" s="788"/>
      <c r="C21" s="33" t="s">
        <v>48</v>
      </c>
      <c r="D21" s="34" t="s">
        <v>49</v>
      </c>
      <c r="E21" s="16" t="s">
        <v>47</v>
      </c>
      <c r="F21" s="22">
        <v>1527.4</v>
      </c>
      <c r="G21" s="22">
        <v>1062.4000000000001</v>
      </c>
      <c r="H21" s="22">
        <v>1472.7</v>
      </c>
      <c r="I21" s="22">
        <v>1029.46</v>
      </c>
      <c r="J21" s="22">
        <v>1472.7</v>
      </c>
      <c r="K21" s="22">
        <v>1602.047</v>
      </c>
      <c r="L21" s="22">
        <v>1472.7</v>
      </c>
      <c r="M21" s="22">
        <v>1642.047</v>
      </c>
      <c r="N21" s="22">
        <v>1644.65</v>
      </c>
      <c r="O21" s="765">
        <f t="shared" si="5"/>
        <v>171.95000000000005</v>
      </c>
      <c r="P21" s="22">
        <v>1472.7</v>
      </c>
      <c r="Q21" s="23">
        <v>1520.6260122043002</v>
      </c>
      <c r="R21" s="22">
        <v>1637.85</v>
      </c>
      <c r="S21" s="768">
        <f>'расшифровки ВС'!M101</f>
        <v>1862.271</v>
      </c>
      <c r="T21" s="254">
        <v>1651.3620000000001</v>
      </c>
      <c r="U21" s="22">
        <v>0</v>
      </c>
      <c r="V21" s="971">
        <f>'расшифровки ВС'!O101</f>
        <v>1867.3710000000001</v>
      </c>
      <c r="W21" s="254">
        <f>'расшифровки ВС'!Q101</f>
        <v>1862.271</v>
      </c>
      <c r="X21" s="971">
        <v>0</v>
      </c>
      <c r="Y21" s="254">
        <f>'расшифровки ВС'!S101</f>
        <v>1862.271</v>
      </c>
      <c r="Z21" s="971">
        <v>0</v>
      </c>
      <c r="AA21" s="254">
        <f>'расшифровки ВС'!U101</f>
        <v>1862.271</v>
      </c>
      <c r="AB21" s="971">
        <v>0</v>
      </c>
      <c r="AD21" s="134"/>
    </row>
    <row r="22" spans="2:30" outlineLevel="2">
      <c r="B22" s="788"/>
      <c r="C22" s="33" t="s">
        <v>50</v>
      </c>
      <c r="D22" s="34" t="s">
        <v>51</v>
      </c>
      <c r="E22" s="16" t="s">
        <v>47</v>
      </c>
      <c r="F22" s="22">
        <v>29996.400000000001</v>
      </c>
      <c r="G22" s="22">
        <v>28659.9</v>
      </c>
      <c r="H22" s="22">
        <v>29800</v>
      </c>
      <c r="I22" s="22">
        <v>24816</v>
      </c>
      <c r="J22" s="22">
        <v>29800</v>
      </c>
      <c r="K22" s="22">
        <v>24884.41</v>
      </c>
      <c r="L22" s="22">
        <v>29800</v>
      </c>
      <c r="M22" s="22">
        <v>24984.41</v>
      </c>
      <c r="N22" s="22">
        <v>25644.02</v>
      </c>
      <c r="O22" s="765">
        <f t="shared" si="5"/>
        <v>-4155.9799999999996</v>
      </c>
      <c r="P22" s="22">
        <v>24984.41</v>
      </c>
      <c r="Q22" s="23">
        <v>23619.707252257147</v>
      </c>
      <c r="R22" s="22">
        <f>25998.6</f>
        <v>25998.6</v>
      </c>
      <c r="S22" s="768">
        <f>'расшифровки ВС'!M102</f>
        <v>25256.633999999998</v>
      </c>
      <c r="T22" s="254">
        <v>26185.297999999999</v>
      </c>
      <c r="U22" s="22">
        <v>25328.81</v>
      </c>
      <c r="V22" s="971">
        <f>'расшифровки ВС'!O102</f>
        <v>25508.312000000002</v>
      </c>
      <c r="W22" s="254">
        <f>'расшифровки ВС'!Q102</f>
        <v>25443.596000000001</v>
      </c>
      <c r="X22" s="971">
        <v>0</v>
      </c>
      <c r="Y22" s="254">
        <f>'расшифровки ВС'!S102</f>
        <v>25446.794999999998</v>
      </c>
      <c r="Z22" s="971">
        <v>0</v>
      </c>
      <c r="AA22" s="254">
        <f>'расшифровки ВС'!U102</f>
        <v>25451.794999999998</v>
      </c>
      <c r="AB22" s="971">
        <v>0</v>
      </c>
      <c r="AD22" s="134"/>
    </row>
    <row r="23" spans="2:30" hidden="1" outlineLevel="2">
      <c r="B23" s="788"/>
      <c r="C23" s="33" t="s">
        <v>52</v>
      </c>
      <c r="D23" s="34" t="s">
        <v>53</v>
      </c>
      <c r="E23" s="16" t="s">
        <v>47</v>
      </c>
      <c r="F23" s="22"/>
      <c r="G23" s="22"/>
      <c r="H23" s="22"/>
      <c r="I23" s="22"/>
      <c r="J23" s="22"/>
      <c r="K23" s="22"/>
      <c r="L23" s="22"/>
      <c r="M23" s="22"/>
      <c r="N23" s="22"/>
      <c r="O23" s="765">
        <f t="shared" si="5"/>
        <v>0</v>
      </c>
      <c r="P23" s="22"/>
      <c r="Q23" s="23"/>
      <c r="R23" s="23"/>
      <c r="S23" s="810"/>
      <c r="T23" s="254"/>
      <c r="U23" s="22"/>
      <c r="V23" s="971"/>
      <c r="W23" s="254"/>
      <c r="X23" s="971"/>
      <c r="Y23" s="254"/>
      <c r="Z23" s="971"/>
      <c r="AA23" s="254"/>
      <c r="AB23" s="971"/>
      <c r="AD23" s="134"/>
    </row>
    <row r="24" spans="2:30" hidden="1" outlineLevel="2">
      <c r="B24" s="788"/>
      <c r="C24" s="33" t="s">
        <v>54</v>
      </c>
      <c r="D24" s="34" t="s">
        <v>55</v>
      </c>
      <c r="E24" s="16" t="s">
        <v>47</v>
      </c>
      <c r="F24" s="22"/>
      <c r="G24" s="22"/>
      <c r="H24" s="22"/>
      <c r="I24" s="22"/>
      <c r="J24" s="22"/>
      <c r="K24" s="22"/>
      <c r="L24" s="22"/>
      <c r="M24" s="22"/>
      <c r="N24" s="22"/>
      <c r="O24" s="765">
        <f t="shared" si="5"/>
        <v>0</v>
      </c>
      <c r="P24" s="22"/>
      <c r="Q24" s="23"/>
      <c r="R24" s="23"/>
      <c r="S24" s="810"/>
      <c r="T24" s="254"/>
      <c r="U24" s="22"/>
      <c r="V24" s="971"/>
      <c r="W24" s="254"/>
      <c r="X24" s="971"/>
      <c r="Y24" s="254"/>
      <c r="Z24" s="971"/>
      <c r="AA24" s="254"/>
      <c r="AB24" s="971"/>
      <c r="AD24" s="134"/>
    </row>
    <row r="25" spans="2:30" ht="21" hidden="1" outlineLevel="2">
      <c r="B25" s="788"/>
      <c r="C25" s="33" t="s">
        <v>56</v>
      </c>
      <c r="D25" s="34" t="s">
        <v>57</v>
      </c>
      <c r="E25" s="16" t="s">
        <v>47</v>
      </c>
      <c r="F25" s="22"/>
      <c r="G25" s="22"/>
      <c r="H25" s="22"/>
      <c r="I25" s="22"/>
      <c r="J25" s="22"/>
      <c r="K25" s="22"/>
      <c r="L25" s="22"/>
      <c r="M25" s="22"/>
      <c r="N25" s="22"/>
      <c r="O25" s="765">
        <f t="shared" si="5"/>
        <v>0</v>
      </c>
      <c r="P25" s="22"/>
      <c r="Q25" s="23"/>
      <c r="R25" s="23"/>
      <c r="S25" s="810"/>
      <c r="T25" s="254"/>
      <c r="U25" s="22"/>
      <c r="V25" s="971"/>
      <c r="W25" s="254"/>
      <c r="X25" s="971"/>
      <c r="Y25" s="254"/>
      <c r="Z25" s="971"/>
      <c r="AA25" s="254"/>
      <c r="AB25" s="971"/>
      <c r="AD25" s="134"/>
    </row>
    <row r="26" spans="2:30" ht="42" hidden="1" outlineLevel="2">
      <c r="B26" s="788"/>
      <c r="C26" s="28" t="s">
        <v>58</v>
      </c>
      <c r="D26" s="32" t="s">
        <v>59</v>
      </c>
      <c r="E26" s="16"/>
      <c r="F26" s="30"/>
      <c r="G26" s="30"/>
      <c r="H26" s="30"/>
      <c r="I26" s="30"/>
      <c r="J26" s="30"/>
      <c r="K26" s="30"/>
      <c r="L26" s="30"/>
      <c r="M26" s="30"/>
      <c r="N26" s="30"/>
      <c r="O26" s="765">
        <f t="shared" si="5"/>
        <v>0</v>
      </c>
      <c r="P26" s="30"/>
      <c r="Q26" s="31"/>
      <c r="R26" s="31"/>
      <c r="S26" s="812"/>
      <c r="T26" s="1103"/>
      <c r="U26" s="30"/>
      <c r="V26" s="973"/>
      <c r="W26" s="1103"/>
      <c r="X26" s="973"/>
      <c r="Y26" s="1103"/>
      <c r="Z26" s="973"/>
      <c r="AA26" s="1103"/>
      <c r="AB26" s="973"/>
      <c r="AD26" s="134"/>
    </row>
    <row r="27" spans="2:30" hidden="1" outlineLevel="2">
      <c r="B27" s="788"/>
      <c r="C27" s="28" t="s">
        <v>60</v>
      </c>
      <c r="D27" s="34" t="s">
        <v>61</v>
      </c>
      <c r="E27" s="16" t="s">
        <v>62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765">
        <f t="shared" si="5"/>
        <v>0</v>
      </c>
      <c r="P27" s="17">
        <v>0</v>
      </c>
      <c r="Q27" s="18">
        <v>0</v>
      </c>
      <c r="R27" s="18"/>
      <c r="S27" s="813"/>
      <c r="T27" s="1101">
        <v>0</v>
      </c>
      <c r="U27" s="17">
        <v>0</v>
      </c>
      <c r="V27" s="970"/>
      <c r="W27" s="1101">
        <v>0</v>
      </c>
      <c r="X27" s="970">
        <v>0</v>
      </c>
      <c r="Y27" s="1101">
        <v>0</v>
      </c>
      <c r="Z27" s="970">
        <v>0</v>
      </c>
      <c r="AA27" s="1101">
        <v>0</v>
      </c>
      <c r="AB27" s="970">
        <v>0</v>
      </c>
      <c r="AD27" s="134"/>
    </row>
    <row r="28" spans="2:30" hidden="1" outlineLevel="2">
      <c r="B28" s="788"/>
      <c r="C28" s="28" t="s">
        <v>63</v>
      </c>
      <c r="D28" s="35" t="s">
        <v>49</v>
      </c>
      <c r="E28" s="16" t="s">
        <v>62</v>
      </c>
      <c r="F28" s="22"/>
      <c r="G28" s="22"/>
      <c r="H28" s="22"/>
      <c r="I28" s="22"/>
      <c r="J28" s="22"/>
      <c r="K28" s="22"/>
      <c r="L28" s="22"/>
      <c r="M28" s="22"/>
      <c r="N28" s="22"/>
      <c r="O28" s="765">
        <f t="shared" si="5"/>
        <v>0</v>
      </c>
      <c r="P28" s="22"/>
      <c r="Q28" s="23"/>
      <c r="R28" s="23"/>
      <c r="S28" s="810"/>
      <c r="T28" s="254"/>
      <c r="U28" s="22"/>
      <c r="V28" s="971"/>
      <c r="W28" s="254"/>
      <c r="X28" s="971"/>
      <c r="Y28" s="254"/>
      <c r="Z28" s="971"/>
      <c r="AA28" s="254"/>
      <c r="AB28" s="971"/>
      <c r="AD28" s="134"/>
    </row>
    <row r="29" spans="2:30" hidden="1" outlineLevel="2">
      <c r="B29" s="788"/>
      <c r="C29" s="28" t="s">
        <v>64</v>
      </c>
      <c r="D29" s="35" t="s">
        <v>51</v>
      </c>
      <c r="E29" s="16" t="s">
        <v>62</v>
      </c>
      <c r="F29" s="22"/>
      <c r="G29" s="22"/>
      <c r="H29" s="22"/>
      <c r="I29" s="22"/>
      <c r="J29" s="22"/>
      <c r="K29" s="22"/>
      <c r="L29" s="22"/>
      <c r="M29" s="22"/>
      <c r="N29" s="22"/>
      <c r="O29" s="765">
        <f t="shared" si="5"/>
        <v>0</v>
      </c>
      <c r="P29" s="22"/>
      <c r="Q29" s="23"/>
      <c r="R29" s="23"/>
      <c r="S29" s="810"/>
      <c r="T29" s="254"/>
      <c r="U29" s="22"/>
      <c r="V29" s="971"/>
      <c r="W29" s="254"/>
      <c r="X29" s="971"/>
      <c r="Y29" s="254"/>
      <c r="Z29" s="971"/>
      <c r="AA29" s="254"/>
      <c r="AB29" s="971"/>
      <c r="AD29" s="134"/>
    </row>
    <row r="30" spans="2:30" hidden="1" outlineLevel="2">
      <c r="B30" s="788"/>
      <c r="C30" s="28" t="s">
        <v>65</v>
      </c>
      <c r="D30" s="35" t="s">
        <v>53</v>
      </c>
      <c r="E30" s="16" t="s">
        <v>62</v>
      </c>
      <c r="F30" s="22"/>
      <c r="G30" s="22"/>
      <c r="H30" s="22"/>
      <c r="I30" s="22"/>
      <c r="J30" s="22"/>
      <c r="K30" s="22"/>
      <c r="L30" s="22"/>
      <c r="M30" s="22"/>
      <c r="N30" s="22"/>
      <c r="O30" s="765">
        <f t="shared" si="5"/>
        <v>0</v>
      </c>
      <c r="P30" s="22"/>
      <c r="Q30" s="23"/>
      <c r="R30" s="23"/>
      <c r="S30" s="810"/>
      <c r="T30" s="254"/>
      <c r="U30" s="22"/>
      <c r="V30" s="971"/>
      <c r="W30" s="254"/>
      <c r="X30" s="971"/>
      <c r="Y30" s="254"/>
      <c r="Z30" s="971"/>
      <c r="AA30" s="254"/>
      <c r="AB30" s="971"/>
      <c r="AD30" s="134"/>
    </row>
    <row r="31" spans="2:30" hidden="1" outlineLevel="2">
      <c r="B31" s="788"/>
      <c r="C31" s="28" t="s">
        <v>66</v>
      </c>
      <c r="D31" s="35" t="s">
        <v>55</v>
      </c>
      <c r="E31" s="16" t="s">
        <v>62</v>
      </c>
      <c r="F31" s="22"/>
      <c r="G31" s="22"/>
      <c r="H31" s="22"/>
      <c r="I31" s="22"/>
      <c r="J31" s="22"/>
      <c r="K31" s="22"/>
      <c r="L31" s="22"/>
      <c r="M31" s="22"/>
      <c r="N31" s="22"/>
      <c r="O31" s="765">
        <f t="shared" si="5"/>
        <v>0</v>
      </c>
      <c r="P31" s="22"/>
      <c r="Q31" s="23"/>
      <c r="R31" s="23"/>
      <c r="S31" s="810"/>
      <c r="T31" s="254"/>
      <c r="U31" s="22"/>
      <c r="V31" s="971"/>
      <c r="W31" s="254"/>
      <c r="X31" s="971"/>
      <c r="Y31" s="254"/>
      <c r="Z31" s="971"/>
      <c r="AA31" s="254"/>
      <c r="AB31" s="971"/>
      <c r="AD31" s="134"/>
    </row>
    <row r="32" spans="2:30" hidden="1" outlineLevel="2">
      <c r="B32" s="788"/>
      <c r="C32" s="28" t="s">
        <v>67</v>
      </c>
      <c r="D32" s="35" t="s">
        <v>68</v>
      </c>
      <c r="E32" s="16" t="s">
        <v>62</v>
      </c>
      <c r="F32" s="22"/>
      <c r="G32" s="22"/>
      <c r="H32" s="22"/>
      <c r="I32" s="22"/>
      <c r="J32" s="22"/>
      <c r="K32" s="22"/>
      <c r="L32" s="22"/>
      <c r="M32" s="22"/>
      <c r="N32" s="22"/>
      <c r="O32" s="765">
        <f t="shared" si="5"/>
        <v>0</v>
      </c>
      <c r="P32" s="22"/>
      <c r="Q32" s="23"/>
      <c r="R32" s="23"/>
      <c r="S32" s="810"/>
      <c r="T32" s="254"/>
      <c r="U32" s="22"/>
      <c r="V32" s="971"/>
      <c r="W32" s="254"/>
      <c r="X32" s="971"/>
      <c r="Y32" s="254"/>
      <c r="Z32" s="971"/>
      <c r="AA32" s="254"/>
      <c r="AB32" s="971"/>
      <c r="AD32" s="134"/>
    </row>
    <row r="33" spans="2:30" ht="21" hidden="1" outlineLevel="2">
      <c r="B33" s="788"/>
      <c r="C33" s="28" t="s">
        <v>69</v>
      </c>
      <c r="D33" s="34" t="s">
        <v>70</v>
      </c>
      <c r="E33" s="16" t="s">
        <v>47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765">
        <f t="shared" si="5"/>
        <v>0</v>
      </c>
      <c r="P33" s="17">
        <v>0</v>
      </c>
      <c r="Q33" s="18">
        <v>0</v>
      </c>
      <c r="R33" s="18"/>
      <c r="S33" s="813"/>
      <c r="T33" s="1101">
        <v>0</v>
      </c>
      <c r="U33" s="17">
        <v>0</v>
      </c>
      <c r="V33" s="970"/>
      <c r="W33" s="1101">
        <v>0</v>
      </c>
      <c r="X33" s="970">
        <v>0</v>
      </c>
      <c r="Y33" s="1101">
        <v>0</v>
      </c>
      <c r="Z33" s="970">
        <v>0</v>
      </c>
      <c r="AA33" s="1101">
        <v>0</v>
      </c>
      <c r="AB33" s="970">
        <v>0</v>
      </c>
      <c r="AD33" s="134"/>
    </row>
    <row r="34" spans="2:30" hidden="1" outlineLevel="2">
      <c r="B34" s="788"/>
      <c r="C34" s="28" t="s">
        <v>71</v>
      </c>
      <c r="D34" s="35" t="s">
        <v>49</v>
      </c>
      <c r="E34" s="16" t="s">
        <v>47</v>
      </c>
      <c r="F34" s="22"/>
      <c r="G34" s="22"/>
      <c r="H34" s="22"/>
      <c r="I34" s="22"/>
      <c r="J34" s="22"/>
      <c r="K34" s="22"/>
      <c r="L34" s="22"/>
      <c r="M34" s="22"/>
      <c r="N34" s="22"/>
      <c r="O34" s="765">
        <f t="shared" si="5"/>
        <v>0</v>
      </c>
      <c r="P34" s="22"/>
      <c r="Q34" s="23"/>
      <c r="R34" s="23"/>
      <c r="S34" s="810"/>
      <c r="T34" s="254"/>
      <c r="U34" s="22"/>
      <c r="V34" s="971"/>
      <c r="W34" s="254"/>
      <c r="X34" s="971"/>
      <c r="Y34" s="254"/>
      <c r="Z34" s="971"/>
      <c r="AA34" s="254"/>
      <c r="AB34" s="971"/>
      <c r="AD34" s="134"/>
    </row>
    <row r="35" spans="2:30" hidden="1" outlineLevel="2">
      <c r="B35" s="788"/>
      <c r="C35" s="28" t="s">
        <v>72</v>
      </c>
      <c r="D35" s="35" t="s">
        <v>51</v>
      </c>
      <c r="E35" s="16" t="s">
        <v>47</v>
      </c>
      <c r="F35" s="22"/>
      <c r="G35" s="22"/>
      <c r="H35" s="22"/>
      <c r="I35" s="22"/>
      <c r="J35" s="22"/>
      <c r="K35" s="22"/>
      <c r="L35" s="22"/>
      <c r="M35" s="22"/>
      <c r="N35" s="22"/>
      <c r="O35" s="765">
        <f t="shared" si="5"/>
        <v>0</v>
      </c>
      <c r="P35" s="22"/>
      <c r="Q35" s="23"/>
      <c r="R35" s="23"/>
      <c r="S35" s="810"/>
      <c r="T35" s="254"/>
      <c r="U35" s="22"/>
      <c r="V35" s="971"/>
      <c r="W35" s="254"/>
      <c r="X35" s="971"/>
      <c r="Y35" s="254"/>
      <c r="Z35" s="971"/>
      <c r="AA35" s="254"/>
      <c r="AB35" s="971"/>
      <c r="AD35" s="134"/>
    </row>
    <row r="36" spans="2:30" hidden="1" outlineLevel="2">
      <c r="B36" s="788"/>
      <c r="C36" s="28" t="s">
        <v>73</v>
      </c>
      <c r="D36" s="35" t="s">
        <v>53</v>
      </c>
      <c r="E36" s="16" t="s">
        <v>47</v>
      </c>
      <c r="F36" s="22"/>
      <c r="G36" s="22"/>
      <c r="H36" s="22"/>
      <c r="I36" s="22"/>
      <c r="J36" s="22"/>
      <c r="K36" s="22"/>
      <c r="L36" s="22"/>
      <c r="M36" s="22"/>
      <c r="N36" s="22"/>
      <c r="O36" s="765">
        <f t="shared" si="5"/>
        <v>0</v>
      </c>
      <c r="P36" s="22"/>
      <c r="Q36" s="23"/>
      <c r="R36" s="23"/>
      <c r="S36" s="810"/>
      <c r="T36" s="254"/>
      <c r="U36" s="22"/>
      <c r="V36" s="971"/>
      <c r="W36" s="254"/>
      <c r="X36" s="971"/>
      <c r="Y36" s="254"/>
      <c r="Z36" s="971"/>
      <c r="AA36" s="254"/>
      <c r="AB36" s="971"/>
      <c r="AD36" s="134"/>
    </row>
    <row r="37" spans="2:30" hidden="1" outlineLevel="2">
      <c r="B37" s="788"/>
      <c r="C37" s="28" t="s">
        <v>74</v>
      </c>
      <c r="D37" s="35" t="s">
        <v>55</v>
      </c>
      <c r="E37" s="16" t="s">
        <v>47</v>
      </c>
      <c r="F37" s="22"/>
      <c r="G37" s="22"/>
      <c r="H37" s="22"/>
      <c r="I37" s="22"/>
      <c r="J37" s="22"/>
      <c r="K37" s="22"/>
      <c r="L37" s="22"/>
      <c r="M37" s="22"/>
      <c r="N37" s="22"/>
      <c r="O37" s="765">
        <f t="shared" si="5"/>
        <v>0</v>
      </c>
      <c r="P37" s="22"/>
      <c r="Q37" s="23"/>
      <c r="R37" s="23"/>
      <c r="S37" s="810"/>
      <c r="T37" s="254"/>
      <c r="U37" s="22"/>
      <c r="V37" s="971"/>
      <c r="W37" s="254"/>
      <c r="X37" s="971"/>
      <c r="Y37" s="254"/>
      <c r="Z37" s="971"/>
      <c r="AA37" s="254"/>
      <c r="AB37" s="971"/>
      <c r="AD37" s="134"/>
    </row>
    <row r="38" spans="2:30" hidden="1" outlineLevel="2">
      <c r="B38" s="788"/>
      <c r="C38" s="28" t="s">
        <v>75</v>
      </c>
      <c r="D38" s="35" t="s">
        <v>68</v>
      </c>
      <c r="E38" s="16" t="s">
        <v>47</v>
      </c>
      <c r="F38" s="22"/>
      <c r="G38" s="22"/>
      <c r="H38" s="22"/>
      <c r="I38" s="22"/>
      <c r="J38" s="22"/>
      <c r="K38" s="22"/>
      <c r="L38" s="22"/>
      <c r="M38" s="22"/>
      <c r="N38" s="22"/>
      <c r="O38" s="765">
        <f t="shared" si="5"/>
        <v>0</v>
      </c>
      <c r="P38" s="22"/>
      <c r="Q38" s="23"/>
      <c r="R38" s="23"/>
      <c r="S38" s="810"/>
      <c r="T38" s="254"/>
      <c r="U38" s="22"/>
      <c r="V38" s="971"/>
      <c r="W38" s="254"/>
      <c r="X38" s="971"/>
      <c r="Y38" s="254"/>
      <c r="Z38" s="971"/>
      <c r="AA38" s="254"/>
      <c r="AB38" s="971"/>
      <c r="AD38" s="134"/>
    </row>
    <row r="39" spans="2:30" ht="31.5" hidden="1" outlineLevel="2">
      <c r="B39" s="788"/>
      <c r="C39" s="28" t="s">
        <v>76</v>
      </c>
      <c r="D39" s="29" t="s">
        <v>77</v>
      </c>
      <c r="E39" s="16"/>
      <c r="F39" s="30"/>
      <c r="G39" s="30"/>
      <c r="H39" s="30"/>
      <c r="I39" s="30"/>
      <c r="J39" s="30"/>
      <c r="K39" s="30"/>
      <c r="L39" s="30"/>
      <c r="M39" s="30"/>
      <c r="N39" s="30"/>
      <c r="O39" s="765">
        <f t="shared" si="5"/>
        <v>0</v>
      </c>
      <c r="P39" s="30"/>
      <c r="Q39" s="31"/>
      <c r="R39" s="31"/>
      <c r="S39" s="812"/>
      <c r="T39" s="1103"/>
      <c r="U39" s="30"/>
      <c r="V39" s="973"/>
      <c r="W39" s="1103"/>
      <c r="X39" s="973"/>
      <c r="Y39" s="1103"/>
      <c r="Z39" s="973"/>
      <c r="AA39" s="1103"/>
      <c r="AB39" s="973"/>
      <c r="AD39" s="134"/>
    </row>
    <row r="40" spans="2:30" ht="21" hidden="1" outlineLevel="2">
      <c r="B40" s="788"/>
      <c r="C40" s="28" t="s">
        <v>78</v>
      </c>
      <c r="D40" s="32" t="s">
        <v>79</v>
      </c>
      <c r="E40" s="16"/>
      <c r="F40" s="30"/>
      <c r="G40" s="30"/>
      <c r="H40" s="30"/>
      <c r="I40" s="30"/>
      <c r="J40" s="30"/>
      <c r="K40" s="30"/>
      <c r="L40" s="30"/>
      <c r="M40" s="30"/>
      <c r="N40" s="30"/>
      <c r="O40" s="765">
        <f t="shared" si="5"/>
        <v>0</v>
      </c>
      <c r="P40" s="30"/>
      <c r="Q40" s="31"/>
      <c r="R40" s="483"/>
      <c r="S40" s="814"/>
      <c r="T40" s="1103"/>
      <c r="U40" s="30"/>
      <c r="V40" s="973"/>
      <c r="W40" s="1103"/>
      <c r="X40" s="973"/>
      <c r="Y40" s="1103"/>
      <c r="Z40" s="973"/>
      <c r="AA40" s="1103"/>
      <c r="AB40" s="973"/>
      <c r="AD40" s="134"/>
    </row>
    <row r="41" spans="2:30" outlineLevel="2">
      <c r="B41" s="788"/>
      <c r="C41" s="33" t="s">
        <v>80</v>
      </c>
      <c r="D41" s="34" t="s">
        <v>49</v>
      </c>
      <c r="E41" s="16" t="s">
        <v>81</v>
      </c>
      <c r="F41" s="22">
        <v>4.17</v>
      </c>
      <c r="G41" s="22">
        <v>4.0039999999999996</v>
      </c>
      <c r="H41" s="22">
        <v>4.1139999999999999</v>
      </c>
      <c r="I41" s="22">
        <v>4.3677999999999999</v>
      </c>
      <c r="J41" s="22">
        <v>4.3849999999999998</v>
      </c>
      <c r="K41" s="22">
        <v>4.68</v>
      </c>
      <c r="L41" s="22">
        <v>4.4540812900000004</v>
      </c>
      <c r="M41" s="22">
        <v>4.9607999999999999</v>
      </c>
      <c r="N41" s="22">
        <v>5.2894839999999999</v>
      </c>
      <c r="O41" s="765">
        <f t="shared" si="5"/>
        <v>0.83540270999999944</v>
      </c>
      <c r="P41" s="22">
        <v>5.23</v>
      </c>
      <c r="Q41" s="23">
        <v>4.9650119999999989</v>
      </c>
      <c r="R41" s="484">
        <v>5.3445679999999998</v>
      </c>
      <c r="S41" s="815">
        <f>'расшифровки ВС'!M121</f>
        <v>5.6163600000000002</v>
      </c>
      <c r="T41" s="254">
        <v>5.7719936000000001</v>
      </c>
      <c r="U41" s="22">
        <v>0</v>
      </c>
      <c r="V41" s="971">
        <f>'расшифровки ВС'!O121</f>
        <v>6.1615000000000002</v>
      </c>
      <c r="W41" s="254">
        <f>'расшифровки ВС'!S121</f>
        <v>7.4539999999999997</v>
      </c>
      <c r="X41" s="971">
        <v>0</v>
      </c>
      <c r="Y41" s="254">
        <f>'расшифровки ВС'!S121</f>
        <v>7.4539999999999997</v>
      </c>
      <c r="Z41" s="971">
        <v>0</v>
      </c>
      <c r="AA41" s="254">
        <f>'расшифровки ВС'!U121</f>
        <v>8.1980000000000004</v>
      </c>
      <c r="AB41" s="971">
        <v>0</v>
      </c>
      <c r="AD41" s="134"/>
    </row>
    <row r="42" spans="2:30" outlineLevel="2">
      <c r="B42" s="788"/>
      <c r="C42" s="33" t="s">
        <v>82</v>
      </c>
      <c r="D42" s="34" t="s">
        <v>51</v>
      </c>
      <c r="E42" s="16" t="s">
        <v>81</v>
      </c>
      <c r="F42" s="22">
        <v>3.0954340999999999</v>
      </c>
      <c r="G42" s="22">
        <v>2.9571100000000001</v>
      </c>
      <c r="H42" s="22">
        <v>3.0512229999999998</v>
      </c>
      <c r="I42" s="22">
        <v>3.2653150000000002</v>
      </c>
      <c r="J42" s="22">
        <v>3.25264</v>
      </c>
      <c r="K42" s="22">
        <v>3.2958599999999998</v>
      </c>
      <c r="L42" s="22">
        <v>3.3038820905600002</v>
      </c>
      <c r="M42" s="22">
        <v>3.4936115999999999</v>
      </c>
      <c r="N42" s="22">
        <v>3.5389284000000001</v>
      </c>
      <c r="O42" s="765">
        <f t="shared" si="5"/>
        <v>0.23504630943999993</v>
      </c>
      <c r="P42" s="22">
        <v>3.65</v>
      </c>
      <c r="Q42" s="23">
        <v>3.4965778739999998</v>
      </c>
      <c r="R42" s="484">
        <f>3.716653</f>
        <v>3.716653</v>
      </c>
      <c r="S42" s="815">
        <f>'расшифровки ВС'!M122</f>
        <v>3.9044400000000001</v>
      </c>
      <c r="T42" s="254">
        <v>3.8175224000000001</v>
      </c>
      <c r="U42" s="22">
        <v>3.6930000000000001</v>
      </c>
      <c r="V42" s="971">
        <f>'расшифровки ВС'!O122</f>
        <v>4.5682499999999999</v>
      </c>
      <c r="W42" s="254">
        <f>'расшифровки ВС'!S122</f>
        <v>5.5270000000000001</v>
      </c>
      <c r="X42" s="971">
        <v>0</v>
      </c>
      <c r="Y42" s="254">
        <f>'расшифровки ВС'!S122</f>
        <v>5.5270000000000001</v>
      </c>
      <c r="Z42" s="971">
        <v>0</v>
      </c>
      <c r="AA42" s="254">
        <f>'расшифровки ВС'!U122</f>
        <v>6.08</v>
      </c>
      <c r="AB42" s="971">
        <v>0</v>
      </c>
      <c r="AD42" s="134"/>
    </row>
    <row r="43" spans="2:30" hidden="1" outlineLevel="2">
      <c r="B43" s="788"/>
      <c r="C43" s="33" t="s">
        <v>83</v>
      </c>
      <c r="D43" s="34" t="s">
        <v>53</v>
      </c>
      <c r="E43" s="16" t="s">
        <v>81</v>
      </c>
      <c r="F43" s="22"/>
      <c r="G43" s="22"/>
      <c r="H43" s="22"/>
      <c r="I43" s="22"/>
      <c r="J43" s="22"/>
      <c r="K43" s="22"/>
      <c r="L43" s="22"/>
      <c r="M43" s="22"/>
      <c r="N43" s="22"/>
      <c r="O43" s="765">
        <f t="shared" si="5"/>
        <v>0</v>
      </c>
      <c r="P43" s="22"/>
      <c r="Q43" s="23"/>
      <c r="R43" s="23"/>
      <c r="S43" s="810"/>
      <c r="T43" s="254"/>
      <c r="U43" s="22"/>
      <c r="V43" s="971"/>
      <c r="W43" s="254"/>
      <c r="X43" s="971"/>
      <c r="Y43" s="254"/>
      <c r="Z43" s="971"/>
      <c r="AA43" s="254"/>
      <c r="AB43" s="971"/>
      <c r="AD43" s="134"/>
    </row>
    <row r="44" spans="2:30" hidden="1" outlineLevel="2">
      <c r="B44" s="788"/>
      <c r="C44" s="33" t="s">
        <v>84</v>
      </c>
      <c r="D44" s="34" t="s">
        <v>55</v>
      </c>
      <c r="E44" s="16" t="s">
        <v>81</v>
      </c>
      <c r="F44" s="22"/>
      <c r="G44" s="22"/>
      <c r="H44" s="22"/>
      <c r="I44" s="22"/>
      <c r="J44" s="22"/>
      <c r="K44" s="22"/>
      <c r="L44" s="22"/>
      <c r="M44" s="22"/>
      <c r="N44" s="22"/>
      <c r="O44" s="765">
        <f t="shared" si="5"/>
        <v>0</v>
      </c>
      <c r="P44" s="22"/>
      <c r="Q44" s="23"/>
      <c r="R44" s="23"/>
      <c r="S44" s="810"/>
      <c r="T44" s="254"/>
      <c r="U44" s="22"/>
      <c r="V44" s="971"/>
      <c r="W44" s="254"/>
      <c r="X44" s="971"/>
      <c r="Y44" s="254"/>
      <c r="Z44" s="971"/>
      <c r="AA44" s="254"/>
      <c r="AB44" s="971"/>
      <c r="AD44" s="134"/>
    </row>
    <row r="45" spans="2:30" ht="21" hidden="1" outlineLevel="2">
      <c r="B45" s="788"/>
      <c r="C45" s="33" t="s">
        <v>85</v>
      </c>
      <c r="D45" s="34" t="s">
        <v>57</v>
      </c>
      <c r="E45" s="16" t="s">
        <v>81</v>
      </c>
      <c r="F45" s="22"/>
      <c r="G45" s="22"/>
      <c r="H45" s="22"/>
      <c r="I45" s="22"/>
      <c r="J45" s="22"/>
      <c r="K45" s="22"/>
      <c r="L45" s="22"/>
      <c r="M45" s="22"/>
      <c r="N45" s="22"/>
      <c r="O45" s="765">
        <f t="shared" si="5"/>
        <v>0</v>
      </c>
      <c r="P45" s="22"/>
      <c r="Q45" s="23"/>
      <c r="R45" s="23"/>
      <c r="S45" s="810"/>
      <c r="T45" s="254"/>
      <c r="U45" s="22"/>
      <c r="V45" s="971"/>
      <c r="W45" s="254"/>
      <c r="X45" s="971"/>
      <c r="Y45" s="254"/>
      <c r="Z45" s="971"/>
      <c r="AA45" s="254"/>
      <c r="AB45" s="971"/>
      <c r="AD45" s="134"/>
    </row>
    <row r="46" spans="2:30" ht="42" outlineLevel="2">
      <c r="B46" s="788"/>
      <c r="C46" s="33" t="s">
        <v>86</v>
      </c>
      <c r="D46" s="34" t="s">
        <v>87</v>
      </c>
      <c r="E46" s="16" t="s">
        <v>81</v>
      </c>
      <c r="F46" s="17">
        <v>3.1474992684016518</v>
      </c>
      <c r="G46" s="17">
        <v>2.9945517839803784</v>
      </c>
      <c r="H46" s="17">
        <v>3.1012711790155629</v>
      </c>
      <c r="I46" s="17">
        <v>3.3092257761324428</v>
      </c>
      <c r="J46" s="17">
        <v>3.305965314795333</v>
      </c>
      <c r="K46" s="17">
        <v>3.3795804211412652</v>
      </c>
      <c r="L46" s="17">
        <v>3.358047492364618</v>
      </c>
      <c r="M46" s="17">
        <v>3.584092744774718</v>
      </c>
      <c r="N46" s="17"/>
      <c r="O46" s="765">
        <f t="shared" si="5"/>
        <v>-3.358047492364618</v>
      </c>
      <c r="P46" s="17">
        <v>3.7379486081435198</v>
      </c>
      <c r="Q46" s="18">
        <v>3.5853968687887678</v>
      </c>
      <c r="R46" s="18"/>
      <c r="S46" s="813"/>
      <c r="T46" s="1101">
        <v>3.8987233748338288</v>
      </c>
      <c r="U46" s="17">
        <v>0</v>
      </c>
      <c r="V46" s="970"/>
      <c r="W46" s="1101">
        <v>4.0546723098271826</v>
      </c>
      <c r="X46" s="970">
        <v>0</v>
      </c>
      <c r="Y46" s="1101">
        <v>4.2168592022202693</v>
      </c>
      <c r="Z46" s="970">
        <v>0</v>
      </c>
      <c r="AA46" s="1101">
        <v>4.3855335703090805</v>
      </c>
      <c r="AB46" s="970">
        <v>0</v>
      </c>
      <c r="AD46" s="134"/>
    </row>
    <row r="47" spans="2:30" ht="21" outlineLevel="2">
      <c r="B47" s="788"/>
      <c r="C47" s="28" t="s">
        <v>88</v>
      </c>
      <c r="D47" s="32" t="s">
        <v>89</v>
      </c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765">
        <f t="shared" si="5"/>
        <v>0</v>
      </c>
      <c r="P47" s="30"/>
      <c r="Q47" s="31"/>
      <c r="R47" s="31"/>
      <c r="S47" s="812"/>
      <c r="T47" s="1103"/>
      <c r="U47" s="30"/>
      <c r="V47" s="973"/>
      <c r="W47" s="1103"/>
      <c r="X47" s="973"/>
      <c r="Y47" s="1103"/>
      <c r="Z47" s="973"/>
      <c r="AA47" s="1103"/>
      <c r="AB47" s="973"/>
      <c r="AD47" s="134"/>
    </row>
    <row r="48" spans="2:30" hidden="1" outlineLevel="2">
      <c r="B48" s="788"/>
      <c r="C48" s="28" t="s">
        <v>90</v>
      </c>
      <c r="D48" s="34" t="s">
        <v>91</v>
      </c>
      <c r="E48" s="16" t="s">
        <v>92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765">
        <f t="shared" si="5"/>
        <v>0</v>
      </c>
      <c r="P48" s="17">
        <v>0</v>
      </c>
      <c r="Q48" s="18">
        <v>0</v>
      </c>
      <c r="R48" s="18"/>
      <c r="S48" s="813"/>
      <c r="T48" s="1101">
        <v>0</v>
      </c>
      <c r="U48" s="17">
        <v>0</v>
      </c>
      <c r="V48" s="970"/>
      <c r="W48" s="1101">
        <v>0</v>
      </c>
      <c r="X48" s="970">
        <v>0</v>
      </c>
      <c r="Y48" s="1101">
        <v>0</v>
      </c>
      <c r="Z48" s="970">
        <v>0</v>
      </c>
      <c r="AA48" s="1101">
        <v>0</v>
      </c>
      <c r="AB48" s="970">
        <v>0</v>
      </c>
      <c r="AD48" s="134"/>
    </row>
    <row r="49" spans="2:30" hidden="1" outlineLevel="2">
      <c r="B49" s="788"/>
      <c r="C49" s="28" t="s">
        <v>93</v>
      </c>
      <c r="D49" s="35" t="s">
        <v>49</v>
      </c>
      <c r="E49" s="16" t="s">
        <v>92</v>
      </c>
      <c r="F49" s="22"/>
      <c r="G49" s="22"/>
      <c r="H49" s="22"/>
      <c r="I49" s="22"/>
      <c r="J49" s="22"/>
      <c r="K49" s="22"/>
      <c r="L49" s="22"/>
      <c r="M49" s="22"/>
      <c r="N49" s="22"/>
      <c r="O49" s="765">
        <f t="shared" si="5"/>
        <v>0</v>
      </c>
      <c r="P49" s="22"/>
      <c r="Q49" s="23"/>
      <c r="R49" s="23"/>
      <c r="S49" s="810"/>
      <c r="T49" s="254"/>
      <c r="U49" s="22"/>
      <c r="V49" s="971"/>
      <c r="W49" s="254"/>
      <c r="X49" s="971"/>
      <c r="Y49" s="254"/>
      <c r="Z49" s="971"/>
      <c r="AA49" s="254"/>
      <c r="AB49" s="971"/>
      <c r="AD49" s="134"/>
    </row>
    <row r="50" spans="2:30" hidden="1" outlineLevel="2">
      <c r="B50" s="788"/>
      <c r="C50" s="28" t="s">
        <v>94</v>
      </c>
      <c r="D50" s="35" t="s">
        <v>51</v>
      </c>
      <c r="E50" s="16" t="s">
        <v>92</v>
      </c>
      <c r="F50" s="22"/>
      <c r="G50" s="22"/>
      <c r="H50" s="22"/>
      <c r="I50" s="22"/>
      <c r="J50" s="22"/>
      <c r="K50" s="22"/>
      <c r="L50" s="22"/>
      <c r="M50" s="22"/>
      <c r="N50" s="22"/>
      <c r="O50" s="765">
        <f t="shared" si="5"/>
        <v>0</v>
      </c>
      <c r="P50" s="22"/>
      <c r="Q50" s="23"/>
      <c r="R50" s="23"/>
      <c r="S50" s="810"/>
      <c r="T50" s="254"/>
      <c r="U50" s="22"/>
      <c r="V50" s="971"/>
      <c r="W50" s="254"/>
      <c r="X50" s="971"/>
      <c r="Y50" s="254"/>
      <c r="Z50" s="971"/>
      <c r="AA50" s="254"/>
      <c r="AB50" s="971"/>
      <c r="AD50" s="134"/>
    </row>
    <row r="51" spans="2:30" hidden="1" outlineLevel="2">
      <c r="B51" s="788"/>
      <c r="C51" s="28" t="s">
        <v>95</v>
      </c>
      <c r="D51" s="35" t="s">
        <v>53</v>
      </c>
      <c r="E51" s="16" t="s">
        <v>92</v>
      </c>
      <c r="F51" s="22"/>
      <c r="G51" s="22"/>
      <c r="H51" s="22"/>
      <c r="I51" s="22"/>
      <c r="J51" s="22"/>
      <c r="K51" s="22"/>
      <c r="L51" s="22"/>
      <c r="M51" s="22"/>
      <c r="N51" s="22"/>
      <c r="O51" s="765">
        <f t="shared" si="5"/>
        <v>0</v>
      </c>
      <c r="P51" s="22"/>
      <c r="Q51" s="23"/>
      <c r="R51" s="23"/>
      <c r="S51" s="810"/>
      <c r="T51" s="254"/>
      <c r="U51" s="22"/>
      <c r="V51" s="971"/>
      <c r="W51" s="254"/>
      <c r="X51" s="971"/>
      <c r="Y51" s="254"/>
      <c r="Z51" s="971"/>
      <c r="AA51" s="254"/>
      <c r="AB51" s="971"/>
      <c r="AD51" s="134"/>
    </row>
    <row r="52" spans="2:30" hidden="1" outlineLevel="2">
      <c r="B52" s="788"/>
      <c r="C52" s="28" t="s">
        <v>96</v>
      </c>
      <c r="D52" s="35" t="s">
        <v>55</v>
      </c>
      <c r="E52" s="16" t="s">
        <v>92</v>
      </c>
      <c r="F52" s="22"/>
      <c r="G52" s="22"/>
      <c r="H52" s="22"/>
      <c r="I52" s="22"/>
      <c r="J52" s="22"/>
      <c r="K52" s="22"/>
      <c r="L52" s="22"/>
      <c r="M52" s="22"/>
      <c r="N52" s="22"/>
      <c r="O52" s="765">
        <f t="shared" si="5"/>
        <v>0</v>
      </c>
      <c r="P52" s="22"/>
      <c r="Q52" s="23"/>
      <c r="R52" s="23"/>
      <c r="S52" s="810"/>
      <c r="T52" s="254"/>
      <c r="U52" s="22"/>
      <c r="V52" s="971"/>
      <c r="W52" s="254"/>
      <c r="X52" s="971"/>
      <c r="Y52" s="254"/>
      <c r="Z52" s="971"/>
      <c r="AA52" s="254"/>
      <c r="AB52" s="971"/>
      <c r="AD52" s="134"/>
    </row>
    <row r="53" spans="2:30" hidden="1" outlineLevel="2">
      <c r="B53" s="788"/>
      <c r="C53" s="28" t="s">
        <v>97</v>
      </c>
      <c r="D53" s="35" t="s">
        <v>68</v>
      </c>
      <c r="E53" s="16" t="s">
        <v>92</v>
      </c>
      <c r="F53" s="22"/>
      <c r="G53" s="22"/>
      <c r="H53" s="22"/>
      <c r="I53" s="22"/>
      <c r="J53" s="22"/>
      <c r="K53" s="22"/>
      <c r="L53" s="22"/>
      <c r="M53" s="22"/>
      <c r="N53" s="22"/>
      <c r="O53" s="765">
        <f t="shared" si="5"/>
        <v>0</v>
      </c>
      <c r="P53" s="22"/>
      <c r="Q53" s="23"/>
      <c r="R53" s="23"/>
      <c r="S53" s="810"/>
      <c r="T53" s="254"/>
      <c r="U53" s="22"/>
      <c r="V53" s="971"/>
      <c r="W53" s="254"/>
      <c r="X53" s="971"/>
      <c r="Y53" s="254"/>
      <c r="Z53" s="971"/>
      <c r="AA53" s="254"/>
      <c r="AB53" s="971"/>
      <c r="AD53" s="134"/>
    </row>
    <row r="54" spans="2:30" ht="21" hidden="1" outlineLevel="2">
      <c r="B54" s="788"/>
      <c r="C54" s="28" t="s">
        <v>98</v>
      </c>
      <c r="D54" s="34" t="s">
        <v>99</v>
      </c>
      <c r="E54" s="16" t="s">
        <v>100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  <c r="O54" s="765">
        <f t="shared" si="5"/>
        <v>0</v>
      </c>
      <c r="P54" s="17">
        <v>0</v>
      </c>
      <c r="Q54" s="18">
        <v>0</v>
      </c>
      <c r="R54" s="18"/>
      <c r="S54" s="813"/>
      <c r="T54" s="1101">
        <v>0</v>
      </c>
      <c r="U54" s="17">
        <v>0</v>
      </c>
      <c r="V54" s="970"/>
      <c r="W54" s="1101">
        <v>0</v>
      </c>
      <c r="X54" s="970">
        <v>0</v>
      </c>
      <c r="Y54" s="1101">
        <v>0</v>
      </c>
      <c r="Z54" s="970">
        <v>0</v>
      </c>
      <c r="AA54" s="1101">
        <v>0</v>
      </c>
      <c r="AB54" s="970">
        <v>0</v>
      </c>
      <c r="AD54" s="134"/>
    </row>
    <row r="55" spans="2:30" hidden="1" outlineLevel="2">
      <c r="B55" s="788"/>
      <c r="C55" s="28" t="s">
        <v>101</v>
      </c>
      <c r="D55" s="35" t="s">
        <v>49</v>
      </c>
      <c r="E55" s="16" t="s">
        <v>100</v>
      </c>
      <c r="F55" s="22"/>
      <c r="G55" s="22"/>
      <c r="H55" s="22"/>
      <c r="I55" s="22"/>
      <c r="J55" s="22"/>
      <c r="K55" s="22"/>
      <c r="L55" s="22"/>
      <c r="M55" s="22"/>
      <c r="N55" s="22"/>
      <c r="O55" s="765">
        <f t="shared" si="5"/>
        <v>0</v>
      </c>
      <c r="P55" s="22"/>
      <c r="Q55" s="23"/>
      <c r="R55" s="23"/>
      <c r="S55" s="810"/>
      <c r="T55" s="254"/>
      <c r="U55" s="22"/>
      <c r="V55" s="971"/>
      <c r="W55" s="254"/>
      <c r="X55" s="971"/>
      <c r="Y55" s="254"/>
      <c r="Z55" s="971"/>
      <c r="AA55" s="254"/>
      <c r="AB55" s="971"/>
      <c r="AD55" s="134"/>
    </row>
    <row r="56" spans="2:30" hidden="1" outlineLevel="2">
      <c r="B56" s="788"/>
      <c r="C56" s="28" t="s">
        <v>102</v>
      </c>
      <c r="D56" s="35" t="s">
        <v>51</v>
      </c>
      <c r="E56" s="16" t="s">
        <v>100</v>
      </c>
      <c r="F56" s="22"/>
      <c r="G56" s="22"/>
      <c r="H56" s="22"/>
      <c r="I56" s="22"/>
      <c r="J56" s="22"/>
      <c r="K56" s="22"/>
      <c r="L56" s="22"/>
      <c r="M56" s="22"/>
      <c r="N56" s="22"/>
      <c r="O56" s="765">
        <f t="shared" si="5"/>
        <v>0</v>
      </c>
      <c r="P56" s="22"/>
      <c r="Q56" s="23"/>
      <c r="R56" s="23"/>
      <c r="S56" s="810"/>
      <c r="T56" s="254"/>
      <c r="U56" s="22"/>
      <c r="V56" s="971"/>
      <c r="W56" s="254"/>
      <c r="X56" s="971"/>
      <c r="Y56" s="254"/>
      <c r="Z56" s="971"/>
      <c r="AA56" s="254"/>
      <c r="AB56" s="971"/>
      <c r="AD56" s="134"/>
    </row>
    <row r="57" spans="2:30" hidden="1" outlineLevel="2">
      <c r="B57" s="788"/>
      <c r="C57" s="28" t="s">
        <v>103</v>
      </c>
      <c r="D57" s="35" t="s">
        <v>53</v>
      </c>
      <c r="E57" s="16" t="s">
        <v>100</v>
      </c>
      <c r="F57" s="22"/>
      <c r="G57" s="22"/>
      <c r="H57" s="22"/>
      <c r="I57" s="22"/>
      <c r="J57" s="22"/>
      <c r="K57" s="22"/>
      <c r="L57" s="22"/>
      <c r="M57" s="22"/>
      <c r="N57" s="22"/>
      <c r="O57" s="765">
        <f t="shared" si="5"/>
        <v>0</v>
      </c>
      <c r="P57" s="22"/>
      <c r="Q57" s="23"/>
      <c r="R57" s="23"/>
      <c r="S57" s="810"/>
      <c r="T57" s="254"/>
      <c r="U57" s="22"/>
      <c r="V57" s="971"/>
      <c r="W57" s="254"/>
      <c r="X57" s="971"/>
      <c r="Y57" s="254"/>
      <c r="Z57" s="971"/>
      <c r="AA57" s="254"/>
      <c r="AB57" s="971"/>
      <c r="AD57" s="134"/>
    </row>
    <row r="58" spans="2:30" hidden="1" outlineLevel="2">
      <c r="B58" s="788"/>
      <c r="C58" s="28" t="s">
        <v>104</v>
      </c>
      <c r="D58" s="35" t="s">
        <v>55</v>
      </c>
      <c r="E58" s="16" t="s">
        <v>100</v>
      </c>
      <c r="F58" s="22"/>
      <c r="G58" s="22"/>
      <c r="H58" s="22"/>
      <c r="I58" s="22"/>
      <c r="J58" s="22"/>
      <c r="K58" s="22"/>
      <c r="L58" s="22"/>
      <c r="M58" s="22"/>
      <c r="N58" s="22"/>
      <c r="O58" s="765">
        <f t="shared" si="5"/>
        <v>0</v>
      </c>
      <c r="P58" s="22"/>
      <c r="Q58" s="23"/>
      <c r="R58" s="23"/>
      <c r="S58" s="810"/>
      <c r="T58" s="254"/>
      <c r="U58" s="22"/>
      <c r="V58" s="971"/>
      <c r="W58" s="254"/>
      <c r="X58" s="971"/>
      <c r="Y58" s="254"/>
      <c r="Z58" s="971"/>
      <c r="AA58" s="254"/>
      <c r="AB58" s="971"/>
      <c r="AD58" s="134"/>
    </row>
    <row r="59" spans="2:30" hidden="1" outlineLevel="2">
      <c r="B59" s="788"/>
      <c r="C59" s="28" t="s">
        <v>105</v>
      </c>
      <c r="D59" s="35" t="s">
        <v>68</v>
      </c>
      <c r="E59" s="16" t="s">
        <v>100</v>
      </c>
      <c r="F59" s="22"/>
      <c r="G59" s="22"/>
      <c r="H59" s="22"/>
      <c r="I59" s="22"/>
      <c r="J59" s="22"/>
      <c r="K59" s="22"/>
      <c r="L59" s="22"/>
      <c r="M59" s="22"/>
      <c r="N59" s="22"/>
      <c r="O59" s="765">
        <f t="shared" si="5"/>
        <v>0</v>
      </c>
      <c r="P59" s="22"/>
      <c r="Q59" s="23"/>
      <c r="R59" s="23"/>
      <c r="S59" s="810"/>
      <c r="T59" s="254"/>
      <c r="U59" s="22"/>
      <c r="V59" s="971"/>
      <c r="W59" s="254"/>
      <c r="X59" s="971"/>
      <c r="Y59" s="254"/>
      <c r="Z59" s="971"/>
      <c r="AA59" s="254"/>
      <c r="AB59" s="971"/>
      <c r="AD59" s="134"/>
    </row>
    <row r="60" spans="2:30" ht="31.5" outlineLevel="2">
      <c r="B60" s="788"/>
      <c r="C60" s="28" t="s">
        <v>106</v>
      </c>
      <c r="D60" s="29" t="s">
        <v>107</v>
      </c>
      <c r="E60" s="16" t="s">
        <v>22</v>
      </c>
      <c r="F60" s="17">
        <v>99221.137437240002</v>
      </c>
      <c r="G60" s="17">
        <v>89004.966489000013</v>
      </c>
      <c r="H60" s="17">
        <v>96985.123200000002</v>
      </c>
      <c r="I60" s="17">
        <v>85528.462427999999</v>
      </c>
      <c r="J60" s="17">
        <v>103386.4615</v>
      </c>
      <c r="K60" s="17">
        <v>89513.111502600004</v>
      </c>
      <c r="L60" s="17">
        <v>105015.211814471</v>
      </c>
      <c r="M60" s="17">
        <v>95431.691352755995</v>
      </c>
      <c r="N60" s="17">
        <f>N61+N62</f>
        <v>99451.700528768008</v>
      </c>
      <c r="O60" s="765">
        <f t="shared" si="5"/>
        <v>-5563.511285702989</v>
      </c>
      <c r="P60" s="17">
        <v>98895.317500000005</v>
      </c>
      <c r="Q60" s="18">
        <v>90138.072166706173</v>
      </c>
      <c r="R60" s="18">
        <f>R61+R62</f>
        <v>105381.37538459999</v>
      </c>
      <c r="S60" s="813"/>
      <c r="T60" s="1101">
        <f>T61+T62</f>
        <v>109494.6125609584</v>
      </c>
      <c r="U60" s="17">
        <v>0</v>
      </c>
      <c r="V60" s="970">
        <f>V61+V62</f>
        <v>128034.08271049999</v>
      </c>
      <c r="W60" s="1101">
        <f>'расшифровки ВС'!Q98</f>
        <v>140475.9225556</v>
      </c>
      <c r="X60" s="970">
        <v>0</v>
      </c>
      <c r="Y60" s="1101">
        <f>Y61+Y62</f>
        <v>154525.803999</v>
      </c>
      <c r="Z60" s="970">
        <v>0</v>
      </c>
      <c r="AA60" s="1101">
        <f>AA61+AA62</f>
        <v>170006.52425799999</v>
      </c>
      <c r="AB60" s="970">
        <v>0</v>
      </c>
      <c r="AD60" s="134"/>
    </row>
    <row r="61" spans="2:30" outlineLevel="2">
      <c r="B61" s="788"/>
      <c r="C61" s="33" t="s">
        <v>108</v>
      </c>
      <c r="D61" s="32" t="s">
        <v>49</v>
      </c>
      <c r="E61" s="16" t="s">
        <v>22</v>
      </c>
      <c r="F61" s="17">
        <v>6369.2580000000007</v>
      </c>
      <c r="G61" s="17">
        <v>4253.8495999999996</v>
      </c>
      <c r="H61" s="17">
        <v>6058.6877999999997</v>
      </c>
      <c r="I61" s="17">
        <v>4496.4753879999998</v>
      </c>
      <c r="J61" s="17">
        <v>6457.7894999999999</v>
      </c>
      <c r="K61" s="17">
        <v>7497.57996</v>
      </c>
      <c r="L61" s="17">
        <v>6559.5255157830006</v>
      </c>
      <c r="M61" s="17">
        <v>8145.8667575999998</v>
      </c>
      <c r="N61" s="17">
        <f>N21*N41</f>
        <v>8699.3498605999994</v>
      </c>
      <c r="O61" s="765">
        <f t="shared" si="5"/>
        <v>2139.8243448169987</v>
      </c>
      <c r="P61" s="17">
        <v>7702.2210000000005</v>
      </c>
      <c r="Q61" s="18">
        <v>7549.9263981064951</v>
      </c>
      <c r="R61" s="18">
        <f>R21*R41</f>
        <v>8753.600698799999</v>
      </c>
      <c r="S61" s="813"/>
      <c r="T61" s="1101">
        <f>T41*T21</f>
        <v>9531.650895283201</v>
      </c>
      <c r="U61" s="17">
        <v>0</v>
      </c>
      <c r="V61" s="970">
        <f>V41*V21</f>
        <v>11505.806416500001</v>
      </c>
      <c r="W61" s="1101">
        <f>W41*W21</f>
        <v>13881.368033999999</v>
      </c>
      <c r="X61" s="970">
        <v>0</v>
      </c>
      <c r="Y61" s="1101">
        <f>Y41*Y21</f>
        <v>13881.368033999999</v>
      </c>
      <c r="Z61" s="970">
        <v>0</v>
      </c>
      <c r="AA61" s="1101">
        <f>AA41*AA21</f>
        <v>15266.897658</v>
      </c>
      <c r="AB61" s="970">
        <v>0</v>
      </c>
      <c r="AD61" s="134"/>
    </row>
    <row r="62" spans="2:30" outlineLevel="2">
      <c r="B62" s="788"/>
      <c r="C62" s="33" t="s">
        <v>109</v>
      </c>
      <c r="D62" s="32" t="s">
        <v>51</v>
      </c>
      <c r="E62" s="16" t="s">
        <v>22</v>
      </c>
      <c r="F62" s="17">
        <v>92851.879437240001</v>
      </c>
      <c r="G62" s="17">
        <v>84751.116889000012</v>
      </c>
      <c r="H62" s="17">
        <v>90926.435400000002</v>
      </c>
      <c r="I62" s="17">
        <v>81031.987039999993</v>
      </c>
      <c r="J62" s="17">
        <v>96928.672000000006</v>
      </c>
      <c r="K62" s="17">
        <v>82015.531542600002</v>
      </c>
      <c r="L62" s="17">
        <v>98455.686298688001</v>
      </c>
      <c r="M62" s="17">
        <v>87285.824595155995</v>
      </c>
      <c r="N62" s="17">
        <f>N22*N42</f>
        <v>90752.350668168001</v>
      </c>
      <c r="O62" s="765">
        <f t="shared" si="5"/>
        <v>-7703.3356305199995</v>
      </c>
      <c r="P62" s="17">
        <v>91193.0965</v>
      </c>
      <c r="Q62" s="18">
        <v>82588.145768599672</v>
      </c>
      <c r="R62" s="18">
        <f>R42*R22</f>
        <v>96627.774685799988</v>
      </c>
      <c r="S62" s="813"/>
      <c r="T62" s="1101">
        <f>T22*T42</f>
        <v>99962.961665675204</v>
      </c>
      <c r="U62" s="17">
        <v>0</v>
      </c>
      <c r="V62" s="970">
        <f>V22*V42-0.07</f>
        <v>116528.276294</v>
      </c>
      <c r="W62" s="1101">
        <f>W22*W42+17.49</f>
        <v>140644.245092</v>
      </c>
      <c r="X62" s="970">
        <v>0</v>
      </c>
      <c r="Y62" s="1101">
        <f>Y22*Y42</f>
        <v>140644.43596499998</v>
      </c>
      <c r="Z62" s="970">
        <v>0</v>
      </c>
      <c r="AA62" s="1101">
        <f>AA22*AA42-7.287</f>
        <v>154739.62659999999</v>
      </c>
      <c r="AB62" s="970">
        <v>0</v>
      </c>
      <c r="AD62" s="134"/>
    </row>
    <row r="63" spans="2:30" hidden="1" outlineLevel="2">
      <c r="B63" s="788"/>
      <c r="C63" s="33" t="s">
        <v>110</v>
      </c>
      <c r="D63" s="32" t="s">
        <v>53</v>
      </c>
      <c r="E63" s="16" t="s">
        <v>22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  <c r="O63" s="765">
        <f t="shared" si="5"/>
        <v>0</v>
      </c>
      <c r="P63" s="17">
        <v>0</v>
      </c>
      <c r="Q63" s="18">
        <v>0</v>
      </c>
      <c r="R63" s="18"/>
      <c r="S63" s="813"/>
      <c r="T63" s="1101">
        <v>0</v>
      </c>
      <c r="U63" s="17">
        <v>0</v>
      </c>
      <c r="V63" s="970">
        <v>0</v>
      </c>
      <c r="W63" s="1101">
        <v>0</v>
      </c>
      <c r="X63" s="970">
        <v>0</v>
      </c>
      <c r="Y63" s="1101">
        <v>0</v>
      </c>
      <c r="Z63" s="970">
        <v>0</v>
      </c>
      <c r="AA63" s="1101">
        <v>0</v>
      </c>
      <c r="AB63" s="970">
        <v>0</v>
      </c>
      <c r="AD63" s="134"/>
    </row>
    <row r="64" spans="2:30" hidden="1" outlineLevel="2">
      <c r="B64" s="788"/>
      <c r="C64" s="33" t="s">
        <v>111</v>
      </c>
      <c r="D64" s="32" t="s">
        <v>55</v>
      </c>
      <c r="E64" s="16" t="s">
        <v>22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  <c r="O64" s="765">
        <f t="shared" si="5"/>
        <v>0</v>
      </c>
      <c r="P64" s="17">
        <v>0</v>
      </c>
      <c r="Q64" s="18">
        <v>0</v>
      </c>
      <c r="R64" s="18"/>
      <c r="S64" s="813"/>
      <c r="T64" s="1101">
        <v>0</v>
      </c>
      <c r="U64" s="17">
        <v>0</v>
      </c>
      <c r="V64" s="970">
        <v>0</v>
      </c>
      <c r="W64" s="1101">
        <v>0</v>
      </c>
      <c r="X64" s="970">
        <v>0</v>
      </c>
      <c r="Y64" s="1101">
        <v>0</v>
      </c>
      <c r="Z64" s="970">
        <v>0</v>
      </c>
      <c r="AA64" s="1101">
        <v>0</v>
      </c>
      <c r="AB64" s="970">
        <v>0</v>
      </c>
      <c r="AD64" s="134"/>
    </row>
    <row r="65" spans="2:30" ht="21" hidden="1" outlineLevel="2">
      <c r="B65" s="788"/>
      <c r="C65" s="33" t="s">
        <v>112</v>
      </c>
      <c r="D65" s="32" t="s">
        <v>57</v>
      </c>
      <c r="E65" s="16" t="s">
        <v>22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  <c r="O65" s="765">
        <f t="shared" si="5"/>
        <v>0</v>
      </c>
      <c r="P65" s="17">
        <v>0</v>
      </c>
      <c r="Q65" s="18">
        <v>0</v>
      </c>
      <c r="R65" s="18"/>
      <c r="S65" s="813"/>
      <c r="T65" s="1101">
        <v>0</v>
      </c>
      <c r="U65" s="17">
        <v>0</v>
      </c>
      <c r="V65" s="970">
        <v>0</v>
      </c>
      <c r="W65" s="1101">
        <v>0</v>
      </c>
      <c r="X65" s="970">
        <v>0</v>
      </c>
      <c r="Y65" s="1101">
        <v>0</v>
      </c>
      <c r="Z65" s="970">
        <v>0</v>
      </c>
      <c r="AA65" s="1101">
        <v>0</v>
      </c>
      <c r="AB65" s="970">
        <v>0</v>
      </c>
      <c r="AD65" s="134"/>
    </row>
    <row r="66" spans="2:30" ht="31.5" hidden="1" outlineLevel="2">
      <c r="B66" s="788"/>
      <c r="C66" s="28" t="s">
        <v>113</v>
      </c>
      <c r="D66" s="29" t="s">
        <v>114</v>
      </c>
      <c r="E66" s="16" t="s">
        <v>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/>
      <c r="O66" s="765">
        <f t="shared" si="5"/>
        <v>0</v>
      </c>
      <c r="P66" s="17">
        <v>0</v>
      </c>
      <c r="Q66" s="18">
        <v>0</v>
      </c>
      <c r="R66" s="18"/>
      <c r="S66" s="813"/>
      <c r="T66" s="1101">
        <v>0</v>
      </c>
      <c r="U66" s="17">
        <v>0</v>
      </c>
      <c r="V66" s="970"/>
      <c r="W66" s="1101">
        <v>0</v>
      </c>
      <c r="X66" s="970">
        <v>0</v>
      </c>
      <c r="Y66" s="1101">
        <v>0</v>
      </c>
      <c r="Z66" s="970">
        <v>0</v>
      </c>
      <c r="AA66" s="1101">
        <v>0</v>
      </c>
      <c r="AB66" s="970">
        <v>0</v>
      </c>
      <c r="AD66" s="134"/>
    </row>
    <row r="67" spans="2:30" hidden="1" outlineLevel="2">
      <c r="B67" s="788"/>
      <c r="C67" s="33" t="s">
        <v>115</v>
      </c>
      <c r="D67" s="32" t="s">
        <v>49</v>
      </c>
      <c r="E67" s="16" t="s">
        <v>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  <c r="O67" s="765">
        <f t="shared" si="5"/>
        <v>0</v>
      </c>
      <c r="P67" s="17">
        <v>0</v>
      </c>
      <c r="Q67" s="18">
        <v>0</v>
      </c>
      <c r="R67" s="18"/>
      <c r="S67" s="813"/>
      <c r="T67" s="1101">
        <v>0</v>
      </c>
      <c r="U67" s="17">
        <v>0</v>
      </c>
      <c r="V67" s="970"/>
      <c r="W67" s="1101">
        <v>0</v>
      </c>
      <c r="X67" s="970">
        <v>0</v>
      </c>
      <c r="Y67" s="1101">
        <v>0</v>
      </c>
      <c r="Z67" s="970">
        <v>0</v>
      </c>
      <c r="AA67" s="1101">
        <v>0</v>
      </c>
      <c r="AB67" s="970">
        <v>0</v>
      </c>
      <c r="AD67" s="134"/>
    </row>
    <row r="68" spans="2:30" hidden="1" outlineLevel="2">
      <c r="B68" s="788"/>
      <c r="C68" s="33" t="s">
        <v>116</v>
      </c>
      <c r="D68" s="32" t="s">
        <v>51</v>
      </c>
      <c r="E68" s="16" t="s">
        <v>22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765">
        <f t="shared" si="5"/>
        <v>0</v>
      </c>
      <c r="P68" s="17">
        <v>0</v>
      </c>
      <c r="Q68" s="18">
        <v>0</v>
      </c>
      <c r="R68" s="18"/>
      <c r="S68" s="813"/>
      <c r="T68" s="1101">
        <v>0</v>
      </c>
      <c r="U68" s="17">
        <v>0</v>
      </c>
      <c r="V68" s="970"/>
      <c r="W68" s="1101">
        <v>0</v>
      </c>
      <c r="X68" s="970">
        <v>0</v>
      </c>
      <c r="Y68" s="1101">
        <v>0</v>
      </c>
      <c r="Z68" s="970">
        <v>0</v>
      </c>
      <c r="AA68" s="1101">
        <v>0</v>
      </c>
      <c r="AB68" s="970">
        <v>0</v>
      </c>
      <c r="AD68" s="134"/>
    </row>
    <row r="69" spans="2:30" hidden="1" outlineLevel="2">
      <c r="B69" s="788"/>
      <c r="C69" s="33" t="s">
        <v>117</v>
      </c>
      <c r="D69" s="32" t="s">
        <v>53</v>
      </c>
      <c r="E69" s="16" t="s">
        <v>22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/>
      <c r="O69" s="765">
        <f t="shared" si="5"/>
        <v>0</v>
      </c>
      <c r="P69" s="17">
        <v>0</v>
      </c>
      <c r="Q69" s="18">
        <v>0</v>
      </c>
      <c r="R69" s="18"/>
      <c r="S69" s="813"/>
      <c r="T69" s="1101">
        <v>0</v>
      </c>
      <c r="U69" s="17">
        <v>0</v>
      </c>
      <c r="V69" s="970"/>
      <c r="W69" s="1101">
        <v>0</v>
      </c>
      <c r="X69" s="970">
        <v>0</v>
      </c>
      <c r="Y69" s="1101">
        <v>0</v>
      </c>
      <c r="Z69" s="970">
        <v>0</v>
      </c>
      <c r="AA69" s="1101">
        <v>0</v>
      </c>
      <c r="AB69" s="970">
        <v>0</v>
      </c>
      <c r="AD69" s="134"/>
    </row>
    <row r="70" spans="2:30" hidden="1" outlineLevel="2">
      <c r="B70" s="788"/>
      <c r="C70" s="33" t="s">
        <v>118</v>
      </c>
      <c r="D70" s="32" t="s">
        <v>55</v>
      </c>
      <c r="E70" s="16" t="s">
        <v>22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765">
        <f t="shared" si="5"/>
        <v>0</v>
      </c>
      <c r="P70" s="17">
        <v>0</v>
      </c>
      <c r="Q70" s="18">
        <v>0</v>
      </c>
      <c r="R70" s="18"/>
      <c r="S70" s="813"/>
      <c r="T70" s="1101">
        <v>0</v>
      </c>
      <c r="U70" s="17">
        <v>0</v>
      </c>
      <c r="V70" s="970"/>
      <c r="W70" s="1101">
        <v>0</v>
      </c>
      <c r="X70" s="970">
        <v>0</v>
      </c>
      <c r="Y70" s="1101">
        <v>0</v>
      </c>
      <c r="Z70" s="970">
        <v>0</v>
      </c>
      <c r="AA70" s="1101">
        <v>0</v>
      </c>
      <c r="AB70" s="970">
        <v>0</v>
      </c>
      <c r="AD70" s="134"/>
    </row>
    <row r="71" spans="2:30" hidden="1" outlineLevel="2">
      <c r="B71" s="788"/>
      <c r="C71" s="33" t="s">
        <v>119</v>
      </c>
      <c r="D71" s="32" t="s">
        <v>68</v>
      </c>
      <c r="E71" s="16" t="s">
        <v>22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/>
      <c r="O71" s="765">
        <f t="shared" si="5"/>
        <v>0</v>
      </c>
      <c r="P71" s="17">
        <v>0</v>
      </c>
      <c r="Q71" s="18">
        <v>0</v>
      </c>
      <c r="R71" s="18"/>
      <c r="S71" s="813"/>
      <c r="T71" s="1101">
        <v>0</v>
      </c>
      <c r="U71" s="17">
        <v>0</v>
      </c>
      <c r="V71" s="970"/>
      <c r="W71" s="1101">
        <v>0</v>
      </c>
      <c r="X71" s="970">
        <v>0</v>
      </c>
      <c r="Y71" s="1101">
        <v>0</v>
      </c>
      <c r="Z71" s="970">
        <v>0</v>
      </c>
      <c r="AA71" s="1101">
        <v>0</v>
      </c>
      <c r="AB71" s="970">
        <v>0</v>
      </c>
      <c r="AD71" s="134"/>
    </row>
    <row r="72" spans="2:30" ht="31.5" hidden="1" outlineLevel="2">
      <c r="B72" s="788"/>
      <c r="C72" s="28" t="s">
        <v>120</v>
      </c>
      <c r="D72" s="29" t="s">
        <v>121</v>
      </c>
      <c r="E72" s="16" t="s">
        <v>22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/>
      <c r="O72" s="765">
        <f t="shared" si="5"/>
        <v>0</v>
      </c>
      <c r="P72" s="17">
        <v>0</v>
      </c>
      <c r="Q72" s="18">
        <v>0</v>
      </c>
      <c r="R72" s="18"/>
      <c r="S72" s="813"/>
      <c r="T72" s="1101">
        <v>0</v>
      </c>
      <c r="U72" s="17">
        <v>0</v>
      </c>
      <c r="V72" s="970"/>
      <c r="W72" s="1101">
        <v>0</v>
      </c>
      <c r="X72" s="970">
        <v>0</v>
      </c>
      <c r="Y72" s="1101">
        <v>0</v>
      </c>
      <c r="Z72" s="970">
        <v>0</v>
      </c>
      <c r="AA72" s="1101">
        <v>0</v>
      </c>
      <c r="AB72" s="970">
        <v>0</v>
      </c>
      <c r="AD72" s="134"/>
    </row>
    <row r="73" spans="2:30" hidden="1" outlineLevel="2">
      <c r="B73" s="788"/>
      <c r="C73" s="33" t="s">
        <v>122</v>
      </c>
      <c r="D73" s="32" t="s">
        <v>49</v>
      </c>
      <c r="E73" s="16" t="s">
        <v>22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/>
      <c r="O73" s="765">
        <f t="shared" ref="O73:O137" si="7">N73-L73</f>
        <v>0</v>
      </c>
      <c r="P73" s="17">
        <v>0</v>
      </c>
      <c r="Q73" s="18">
        <v>0</v>
      </c>
      <c r="R73" s="18"/>
      <c r="S73" s="813"/>
      <c r="T73" s="1101">
        <v>0</v>
      </c>
      <c r="U73" s="17">
        <v>0</v>
      </c>
      <c r="V73" s="970"/>
      <c r="W73" s="1101">
        <v>0</v>
      </c>
      <c r="X73" s="970">
        <v>0</v>
      </c>
      <c r="Y73" s="1101">
        <v>0</v>
      </c>
      <c r="Z73" s="970">
        <v>0</v>
      </c>
      <c r="AA73" s="1101">
        <v>0</v>
      </c>
      <c r="AB73" s="970">
        <v>0</v>
      </c>
      <c r="AD73" s="134"/>
    </row>
    <row r="74" spans="2:30" hidden="1" outlineLevel="2">
      <c r="B74" s="788"/>
      <c r="C74" s="33" t="s">
        <v>123</v>
      </c>
      <c r="D74" s="32" t="s">
        <v>51</v>
      </c>
      <c r="E74" s="16" t="s">
        <v>22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/>
      <c r="O74" s="765">
        <f t="shared" si="7"/>
        <v>0</v>
      </c>
      <c r="P74" s="17">
        <v>0</v>
      </c>
      <c r="Q74" s="18">
        <v>0</v>
      </c>
      <c r="R74" s="18"/>
      <c r="S74" s="813"/>
      <c r="T74" s="1101">
        <v>0</v>
      </c>
      <c r="U74" s="17">
        <v>0</v>
      </c>
      <c r="V74" s="970"/>
      <c r="W74" s="1101">
        <v>0</v>
      </c>
      <c r="X74" s="970">
        <v>0</v>
      </c>
      <c r="Y74" s="1101">
        <v>0</v>
      </c>
      <c r="Z74" s="970">
        <v>0</v>
      </c>
      <c r="AA74" s="1101">
        <v>0</v>
      </c>
      <c r="AB74" s="970">
        <v>0</v>
      </c>
      <c r="AD74" s="134"/>
    </row>
    <row r="75" spans="2:30" hidden="1" outlineLevel="2">
      <c r="B75" s="788"/>
      <c r="C75" s="33" t="s">
        <v>124</v>
      </c>
      <c r="D75" s="32" t="s">
        <v>53</v>
      </c>
      <c r="E75" s="16" t="s">
        <v>22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/>
      <c r="O75" s="765">
        <f t="shared" si="7"/>
        <v>0</v>
      </c>
      <c r="P75" s="17">
        <v>0</v>
      </c>
      <c r="Q75" s="18">
        <v>0</v>
      </c>
      <c r="R75" s="18"/>
      <c r="S75" s="813"/>
      <c r="T75" s="1101">
        <v>0</v>
      </c>
      <c r="U75" s="17">
        <v>0</v>
      </c>
      <c r="V75" s="970"/>
      <c r="W75" s="1101">
        <v>0</v>
      </c>
      <c r="X75" s="970">
        <v>0</v>
      </c>
      <c r="Y75" s="1101">
        <v>0</v>
      </c>
      <c r="Z75" s="970">
        <v>0</v>
      </c>
      <c r="AA75" s="1101">
        <v>0</v>
      </c>
      <c r="AB75" s="970">
        <v>0</v>
      </c>
      <c r="AD75" s="134"/>
    </row>
    <row r="76" spans="2:30" hidden="1" outlineLevel="2">
      <c r="B76" s="788"/>
      <c r="C76" s="33" t="s">
        <v>125</v>
      </c>
      <c r="D76" s="32" t="s">
        <v>55</v>
      </c>
      <c r="E76" s="16" t="s">
        <v>22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765">
        <f t="shared" si="7"/>
        <v>0</v>
      </c>
      <c r="P76" s="17">
        <v>0</v>
      </c>
      <c r="Q76" s="18">
        <v>0</v>
      </c>
      <c r="R76" s="18"/>
      <c r="S76" s="813"/>
      <c r="T76" s="1101">
        <v>0</v>
      </c>
      <c r="U76" s="17">
        <v>0</v>
      </c>
      <c r="V76" s="970"/>
      <c r="W76" s="1101">
        <v>0</v>
      </c>
      <c r="X76" s="970">
        <v>0</v>
      </c>
      <c r="Y76" s="1101">
        <v>0</v>
      </c>
      <c r="Z76" s="970">
        <v>0</v>
      </c>
      <c r="AA76" s="1101">
        <v>0</v>
      </c>
      <c r="AB76" s="970">
        <v>0</v>
      </c>
      <c r="AD76" s="134"/>
    </row>
    <row r="77" spans="2:30" hidden="1" outlineLevel="2">
      <c r="B77" s="788"/>
      <c r="C77" s="33" t="s">
        <v>126</v>
      </c>
      <c r="D77" s="32" t="s">
        <v>68</v>
      </c>
      <c r="E77" s="16" t="s">
        <v>22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/>
      <c r="O77" s="765">
        <f t="shared" si="7"/>
        <v>0</v>
      </c>
      <c r="P77" s="17">
        <v>0</v>
      </c>
      <c r="Q77" s="18">
        <v>0</v>
      </c>
      <c r="R77" s="18"/>
      <c r="S77" s="813"/>
      <c r="T77" s="1101">
        <v>0</v>
      </c>
      <c r="U77" s="17">
        <v>0</v>
      </c>
      <c r="V77" s="970"/>
      <c r="W77" s="1101">
        <v>0</v>
      </c>
      <c r="X77" s="970">
        <v>0</v>
      </c>
      <c r="Y77" s="1101">
        <v>0</v>
      </c>
      <c r="Z77" s="970">
        <v>0</v>
      </c>
      <c r="AA77" s="1101">
        <v>0</v>
      </c>
      <c r="AB77" s="970">
        <v>0</v>
      </c>
      <c r="AD77" s="134"/>
    </row>
    <row r="78" spans="2:30" collapsed="1">
      <c r="B78" s="788"/>
      <c r="C78" s="14" t="s">
        <v>127</v>
      </c>
      <c r="D78" s="735" t="s">
        <v>128</v>
      </c>
      <c r="E78" s="16" t="s">
        <v>22</v>
      </c>
      <c r="F78" s="22">
        <v>2715.31</v>
      </c>
      <c r="G78" s="22">
        <v>3559.1199999999994</v>
      </c>
      <c r="H78" s="22">
        <v>3486.3068750000002</v>
      </c>
      <c r="I78" s="22">
        <v>4384.7328463000003</v>
      </c>
      <c r="J78" s="22">
        <v>3597.9304500000003</v>
      </c>
      <c r="K78" s="22">
        <v>4071.8899999999994</v>
      </c>
      <c r="L78" s="22">
        <v>4537.1978102885005</v>
      </c>
      <c r="M78" s="22">
        <v>4590.5600000000013</v>
      </c>
      <c r="N78" s="22">
        <v>7172.4780000000001</v>
      </c>
      <c r="O78" s="765">
        <f t="shared" si="7"/>
        <v>2635.2801897114996</v>
      </c>
      <c r="P78" s="22">
        <v>4821.1400000000012</v>
      </c>
      <c r="Q78" s="23">
        <v>4360.6201771999995</v>
      </c>
      <c r="R78" s="22">
        <v>6244.02</v>
      </c>
      <c r="S78" s="768">
        <f>'расшифровки ВС'!M175</f>
        <v>7775.3259702000005</v>
      </c>
      <c r="T78" s="254">
        <v>5124.58</v>
      </c>
      <c r="U78" s="22">
        <f>Q78*V3</f>
        <v>4444.3630533000105</v>
      </c>
      <c r="V78" s="971">
        <f>'расшифровки ВС'!O175</f>
        <v>4316.99</v>
      </c>
      <c r="W78" s="254">
        <f>'расшифровки ВС'!Q175</f>
        <v>5114.9347063424993</v>
      </c>
      <c r="X78" s="971">
        <v>5114.9340000000002</v>
      </c>
      <c r="Y78" s="254">
        <f>'расшифровки ВС'!S175</f>
        <v>5370.68</v>
      </c>
      <c r="Z78" s="971">
        <v>4637.8900000000003</v>
      </c>
      <c r="AA78" s="254">
        <f>'расшифровки ВС'!U175</f>
        <v>5639.21</v>
      </c>
      <c r="AB78" s="971">
        <v>0</v>
      </c>
      <c r="AC78" s="134"/>
      <c r="AD78" s="134"/>
    </row>
    <row r="79" spans="2:30" ht="31.5">
      <c r="B79" s="788"/>
      <c r="C79" s="14" t="s">
        <v>129</v>
      </c>
      <c r="D79" s="21" t="s">
        <v>1386</v>
      </c>
      <c r="E79" s="16" t="s">
        <v>22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182.8</v>
      </c>
      <c r="O79" s="765">
        <f t="shared" si="7"/>
        <v>182.8</v>
      </c>
      <c r="P79" s="22">
        <v>0</v>
      </c>
      <c r="Q79" s="23">
        <v>0</v>
      </c>
      <c r="R79" s="22">
        <f>'расшифровки ВС'!M214</f>
        <v>2976.9810000000002</v>
      </c>
      <c r="S79" s="768"/>
      <c r="T79" s="254"/>
      <c r="U79" s="22">
        <f>Q79*$U$3</f>
        <v>0</v>
      </c>
      <c r="V79" s="971"/>
      <c r="W79" s="254"/>
      <c r="X79" s="971">
        <v>0</v>
      </c>
      <c r="Y79" s="254"/>
      <c r="Z79" s="971">
        <v>0</v>
      </c>
      <c r="AA79" s="254"/>
      <c r="AB79" s="971">
        <v>0</v>
      </c>
      <c r="AC79" s="134"/>
      <c r="AD79" s="134"/>
    </row>
    <row r="80" spans="2:30" ht="21">
      <c r="B80" s="788"/>
      <c r="C80" s="14" t="s">
        <v>130</v>
      </c>
      <c r="D80" s="735" t="s">
        <v>1137</v>
      </c>
      <c r="E80" s="16" t="s">
        <v>22</v>
      </c>
      <c r="F80" s="22">
        <v>987.5324999999998</v>
      </c>
      <c r="G80" s="22">
        <v>1000.36</v>
      </c>
      <c r="H80" s="22">
        <v>1097.3599999999999</v>
      </c>
      <c r="I80" s="22">
        <v>1377.83</v>
      </c>
      <c r="J80" s="22">
        <v>1129.8408824000001</v>
      </c>
      <c r="K80" s="22">
        <v>1544.9920059999999</v>
      </c>
      <c r="L80" s="22">
        <v>1159.9305384600768</v>
      </c>
      <c r="M80" s="22">
        <v>1853.0587600000001</v>
      </c>
      <c r="N80" s="22">
        <f>549.418+938.56</f>
        <v>1487.9780000000001</v>
      </c>
      <c r="O80" s="765">
        <f t="shared" si="7"/>
        <v>328.04746153992323</v>
      </c>
      <c r="P80" s="22">
        <v>1242.2113663162306</v>
      </c>
      <c r="Q80" s="23">
        <v>1170.3406814424</v>
      </c>
      <c r="R80" s="22">
        <f>'расшифровки ВС'!M206+'расшифровки ВС'!M210</f>
        <v>849.96038799999997</v>
      </c>
      <c r="S80" s="768">
        <f>'расшифровки ВС'!M215</f>
        <v>3826.9413880000002</v>
      </c>
      <c r="T80" s="254">
        <f>'расшифровки ВС'!O206+'расшифровки ВС'!O210</f>
        <v>1056.8985</v>
      </c>
      <c r="U80" s="22">
        <f>Q80*V3</f>
        <v>1192.8163135080583</v>
      </c>
      <c r="V80" s="971">
        <f>'расшифровки ВС'!O215</f>
        <v>4152.9587400000009</v>
      </c>
      <c r="W80" s="254">
        <f>'расшифровки ВС'!Q215</f>
        <v>4372.5947948000012</v>
      </c>
      <c r="X80" s="971">
        <v>4372.59</v>
      </c>
      <c r="Y80" s="254">
        <f>'расшифровки ВС'!S215</f>
        <v>4626.4216049254173</v>
      </c>
      <c r="Z80" s="971">
        <v>7270.92</v>
      </c>
      <c r="AA80" s="254">
        <f>'расшифровки ВС'!U215</f>
        <v>4901.4690190113661</v>
      </c>
      <c r="AB80" s="971">
        <v>0</v>
      </c>
      <c r="AC80" s="134"/>
      <c r="AD80" s="134"/>
    </row>
    <row r="81" spans="2:31">
      <c r="B81" s="788"/>
      <c r="C81" s="14" t="s">
        <v>131</v>
      </c>
      <c r="D81" s="735" t="s">
        <v>132</v>
      </c>
      <c r="E81" s="16" t="s">
        <v>22</v>
      </c>
      <c r="F81" s="17">
        <v>13353.590700000001</v>
      </c>
      <c r="G81" s="17">
        <v>13477.043900000001</v>
      </c>
      <c r="H81" s="17">
        <v>13989.080000000002</v>
      </c>
      <c r="I81" s="17">
        <v>14207.607499999998</v>
      </c>
      <c r="J81" s="17">
        <v>14696.429999999998</v>
      </c>
      <c r="K81" s="17">
        <v>15423.856619999999</v>
      </c>
      <c r="L81" s="17">
        <v>15219.402461549998</v>
      </c>
      <c r="M81" s="17">
        <v>16845.0841</v>
      </c>
      <c r="N81" s="17">
        <f>N82+N85</f>
        <v>17260.724971440002</v>
      </c>
      <c r="O81" s="765">
        <f t="shared" si="7"/>
        <v>2041.3225098900039</v>
      </c>
      <c r="P81" s="17">
        <v>17587.211158400001</v>
      </c>
      <c r="Q81" s="18">
        <v>16782.686637792995</v>
      </c>
      <c r="R81" s="17">
        <f>R82+R85</f>
        <v>17922.078709999998</v>
      </c>
      <c r="S81" s="770">
        <f>S82+S85</f>
        <v>18485.286499999998</v>
      </c>
      <c r="T81" s="1101">
        <f>T82+T85</f>
        <v>18949.6296496</v>
      </c>
      <c r="U81" s="17">
        <f>U82+U85</f>
        <v>17105.001808579378</v>
      </c>
      <c r="V81" s="970">
        <f>V82+V85</f>
        <v>19014.7994</v>
      </c>
      <c r="W81" s="1101">
        <f t="shared" ref="W81:AB81" si="8">W82+W85</f>
        <v>20014.071327499998</v>
      </c>
      <c r="X81" s="1101">
        <f t="shared" si="8"/>
        <v>20014.081327499996</v>
      </c>
      <c r="Y81" s="1101">
        <f t="shared" si="8"/>
        <v>20072.716049999999</v>
      </c>
      <c r="Z81" s="970">
        <v>20582.599999999999</v>
      </c>
      <c r="AA81" s="1101">
        <f t="shared" si="8"/>
        <v>20557.5196</v>
      </c>
      <c r="AB81" s="970">
        <f t="shared" si="8"/>
        <v>19347.8470730804</v>
      </c>
    </row>
    <row r="82" spans="2:31">
      <c r="B82" s="788"/>
      <c r="C82" s="14"/>
      <c r="D82" s="36" t="s">
        <v>133</v>
      </c>
      <c r="E82" s="16"/>
      <c r="F82" s="17">
        <v>12665.799300000001</v>
      </c>
      <c r="G82" s="17">
        <v>12736.623900000001</v>
      </c>
      <c r="H82" s="17">
        <v>13258.79</v>
      </c>
      <c r="I82" s="17">
        <v>13484.88</v>
      </c>
      <c r="J82" s="17">
        <v>13901.13</v>
      </c>
      <c r="K82" s="17">
        <v>14932.369409999999</v>
      </c>
      <c r="L82" s="17">
        <v>14395.801711049999</v>
      </c>
      <c r="M82" s="17">
        <v>16320.798100000002</v>
      </c>
      <c r="N82" s="17">
        <f>N83*N84</f>
        <v>16851.987370000003</v>
      </c>
      <c r="O82" s="765">
        <f t="shared" si="7"/>
        <v>2456.1856589500039</v>
      </c>
      <c r="P82" s="17">
        <v>17040.040534399999</v>
      </c>
      <c r="Q82" s="18">
        <f>'расшифровки ВС'!N229</f>
        <v>16343.989300000001</v>
      </c>
      <c r="R82" s="17">
        <f>R83*R84</f>
        <v>17505.918709999998</v>
      </c>
      <c r="S82" s="770">
        <f>'расшифровки ВС'!M229</f>
        <v>18079.603999999999</v>
      </c>
      <c r="T82" s="1101">
        <f>T83*T84</f>
        <v>18448.007031999998</v>
      </c>
      <c r="U82" s="17">
        <f>U83*U84</f>
        <v>16657.879150000001</v>
      </c>
      <c r="V82" s="970">
        <f>'расшифровки ВС'!O229-0.01</f>
        <v>18567.737000000001</v>
      </c>
      <c r="W82" s="1101">
        <f>'расшифровки ВС'!Q229</f>
        <v>19549.963789999998</v>
      </c>
      <c r="X82" s="17">
        <f>W82+0.01</f>
        <v>19549.973789999996</v>
      </c>
      <c r="Y82" s="1101">
        <f>'расшифровки ВС'!S229</f>
        <v>19589.550049999998</v>
      </c>
      <c r="Z82" s="970">
        <v>18207.441930988498</v>
      </c>
      <c r="AA82" s="1101">
        <f>'расшифровки ВС'!U229</f>
        <v>20054.881699999998</v>
      </c>
      <c r="AB82" s="970">
        <v>18870.175820831271</v>
      </c>
      <c r="AC82" s="134"/>
    </row>
    <row r="83" spans="2:31">
      <c r="B83" s="788"/>
      <c r="C83" s="20" t="s">
        <v>134</v>
      </c>
      <c r="D83" s="37" t="s">
        <v>135</v>
      </c>
      <c r="E83" s="16" t="s">
        <v>136</v>
      </c>
      <c r="F83" s="22">
        <v>16.170000000000002</v>
      </c>
      <c r="G83" s="22">
        <v>16.170000000000002</v>
      </c>
      <c r="H83" s="22">
        <v>17.449909189018452</v>
      </c>
      <c r="I83" s="22">
        <v>18</v>
      </c>
      <c r="J83" s="22">
        <v>18.409898157835489</v>
      </c>
      <c r="K83" s="22">
        <v>18.41</v>
      </c>
      <c r="L83" s="22">
        <v>19.065014383782064</v>
      </c>
      <c r="M83" s="22">
        <v>18.82</v>
      </c>
      <c r="N83" s="22">
        <v>19.07</v>
      </c>
      <c r="O83" s="765">
        <f t="shared" si="7"/>
        <v>4.9856162179366947E-3</v>
      </c>
      <c r="P83" s="22">
        <v>19.572800000000001</v>
      </c>
      <c r="Q83" s="23">
        <v>19.815000000000001</v>
      </c>
      <c r="R83" s="22">
        <v>19.809999999999999</v>
      </c>
      <c r="S83" s="768">
        <f>'расшифровки ВС'!M228</f>
        <v>19.82</v>
      </c>
      <c r="T83" s="254">
        <f>R83*1.04</f>
        <v>20.602399999999999</v>
      </c>
      <c r="U83" s="22">
        <v>20.350000000000001</v>
      </c>
      <c r="V83" s="971">
        <f>'расшифровки ВС'!O228</f>
        <v>20.350000000000001</v>
      </c>
      <c r="W83" s="254">
        <f>'расшифровки ВС'!Q228</f>
        <v>21.425999999999998</v>
      </c>
      <c r="X83" s="254">
        <f>'расшифровки ВС'!R228</f>
        <v>0</v>
      </c>
      <c r="Y83" s="254">
        <f>'расшифровки ВС'!S228</f>
        <v>21.47</v>
      </c>
      <c r="Z83" s="971">
        <v>21.47</v>
      </c>
      <c r="AA83" s="254">
        <f>'расшифровки ВС'!U228</f>
        <v>21.98</v>
      </c>
      <c r="AB83" s="971">
        <v>21.98</v>
      </c>
    </row>
    <row r="84" spans="2:31">
      <c r="B84" s="788"/>
      <c r="C84" s="20" t="s">
        <v>137</v>
      </c>
      <c r="D84" s="37" t="s">
        <v>138</v>
      </c>
      <c r="E84" s="38" t="s">
        <v>139</v>
      </c>
      <c r="F84" s="22">
        <v>783.29</v>
      </c>
      <c r="G84" s="22">
        <v>787.67</v>
      </c>
      <c r="H84" s="22">
        <v>759.82</v>
      </c>
      <c r="I84" s="22">
        <v>749.16</v>
      </c>
      <c r="J84" s="22">
        <v>755.09</v>
      </c>
      <c r="K84" s="22">
        <v>811.101</v>
      </c>
      <c r="L84" s="22">
        <v>755.09</v>
      </c>
      <c r="M84" s="22">
        <v>867.20500000000004</v>
      </c>
      <c r="N84" s="22">
        <v>883.69100000000003</v>
      </c>
      <c r="O84" s="765">
        <f t="shared" si="7"/>
        <v>128.601</v>
      </c>
      <c r="P84" s="22">
        <v>870.59799999999996</v>
      </c>
      <c r="Q84" s="23">
        <v>824.82911352075325</v>
      </c>
      <c r="R84" s="22">
        <f>N84</f>
        <v>883.69100000000003</v>
      </c>
      <c r="S84" s="768">
        <f>'расшифровки ВС'!M227</f>
        <v>912.2</v>
      </c>
      <c r="T84" s="254">
        <v>895.43</v>
      </c>
      <c r="U84" s="22">
        <v>818.56899999999996</v>
      </c>
      <c r="V84" s="971">
        <f>'расшифровки ВС'!O227</f>
        <v>912.42</v>
      </c>
      <c r="W84" s="254">
        <f>'расшифровки ВС'!Q227</f>
        <v>912.41499999999996</v>
      </c>
      <c r="X84" s="254">
        <f>'расшифровки ВС'!R227</f>
        <v>0</v>
      </c>
      <c r="Y84" s="254">
        <f>'расшифровки ВС'!S227</f>
        <v>912.41499999999996</v>
      </c>
      <c r="Z84" s="971">
        <v>0</v>
      </c>
      <c r="AA84" s="254">
        <f>'расшифровки ВС'!U227</f>
        <v>912.41499999999996</v>
      </c>
      <c r="AB84" s="971">
        <v>0</v>
      </c>
    </row>
    <row r="85" spans="2:31">
      <c r="B85" s="788"/>
      <c r="C85" s="14"/>
      <c r="D85" s="36" t="s">
        <v>140</v>
      </c>
      <c r="E85" s="16"/>
      <c r="F85" s="17">
        <v>687.79139999999995</v>
      </c>
      <c r="G85" s="17">
        <v>740.42</v>
      </c>
      <c r="H85" s="17">
        <v>730.29</v>
      </c>
      <c r="I85" s="17">
        <v>722.72749999999996</v>
      </c>
      <c r="J85" s="17">
        <v>795.30000000000007</v>
      </c>
      <c r="K85" s="17">
        <v>491.48721</v>
      </c>
      <c r="L85" s="17">
        <v>823.6007505</v>
      </c>
      <c r="M85" s="17">
        <v>524.28599999999994</v>
      </c>
      <c r="N85" s="17">
        <f>N86*N87</f>
        <v>408.73760143999999</v>
      </c>
      <c r="O85" s="765">
        <f t="shared" si="7"/>
        <v>-414.86314906000001</v>
      </c>
      <c r="P85" s="17">
        <v>547.17062399999998</v>
      </c>
      <c r="Q85" s="18">
        <f>'расшифровки ВС'!N233+0.1</f>
        <v>438.70000000000005</v>
      </c>
      <c r="R85" s="17">
        <f t="shared" ref="R85:X85" si="9">R86*R87</f>
        <v>416.16</v>
      </c>
      <c r="S85" s="770">
        <f>S86*S87+0.02</f>
        <v>405.6825</v>
      </c>
      <c r="T85" s="1101">
        <f t="shared" si="9"/>
        <v>501.62261760000001</v>
      </c>
      <c r="U85" s="17">
        <f t="shared" si="9"/>
        <v>447.12265857937632</v>
      </c>
      <c r="V85" s="970">
        <f t="shared" si="9"/>
        <v>447.06240000000003</v>
      </c>
      <c r="W85" s="1101">
        <f t="shared" si="9"/>
        <v>464.10753750000003</v>
      </c>
      <c r="X85" s="1101">
        <f t="shared" si="9"/>
        <v>464.10753750000003</v>
      </c>
      <c r="Y85" s="1101">
        <f>Y86*Y87-0.09</f>
        <v>483.166</v>
      </c>
      <c r="Z85" s="970">
        <f>X85*AG2</f>
        <v>510.33419064757737</v>
      </c>
      <c r="AA85" s="1101">
        <f>AA86*AA87+0.01</f>
        <v>502.63789999999995</v>
      </c>
      <c r="AB85" s="970">
        <v>477.67125224912888</v>
      </c>
      <c r="AE85" s="734"/>
    </row>
    <row r="86" spans="2:31">
      <c r="B86" s="788"/>
      <c r="C86" s="20" t="s">
        <v>141</v>
      </c>
      <c r="D86" s="37" t="s">
        <v>135</v>
      </c>
      <c r="E86" s="16" t="s">
        <v>136</v>
      </c>
      <c r="F86" s="22">
        <v>22.98</v>
      </c>
      <c r="G86" s="22">
        <v>22.901948654500465</v>
      </c>
      <c r="H86" s="22">
        <v>22.13</v>
      </c>
      <c r="I86" s="22">
        <v>22.55</v>
      </c>
      <c r="J86" s="22">
        <v>24.1</v>
      </c>
      <c r="K86" s="22">
        <v>24.21</v>
      </c>
      <c r="L86" s="22">
        <v>24.9575985</v>
      </c>
      <c r="M86" s="22">
        <v>25.2</v>
      </c>
      <c r="N86" s="22">
        <v>23.12</v>
      </c>
      <c r="O86" s="765">
        <f t="shared" si="7"/>
        <v>-1.8375984999999986</v>
      </c>
      <c r="P86" s="22">
        <v>26.207999999999998</v>
      </c>
      <c r="Q86" s="23">
        <v>21.25</v>
      </c>
      <c r="R86" s="22">
        <v>23.12</v>
      </c>
      <c r="S86" s="768">
        <f>'расшифровки ВС'!M232</f>
        <v>21.25</v>
      </c>
      <c r="T86" s="254">
        <f>R86*1.04</f>
        <v>24.044800000000002</v>
      </c>
      <c r="U86" s="22">
        <f>Q86*V3</f>
        <v>21.658092437500002</v>
      </c>
      <c r="V86" s="971">
        <f>'расшифровки ВС'!O232</f>
        <v>21.66</v>
      </c>
      <c r="W86" s="254">
        <f>'расшифровки ВС'!Q232</f>
        <v>22.307500000000001</v>
      </c>
      <c r="X86" s="971">
        <f>W86</f>
        <v>22.307500000000001</v>
      </c>
      <c r="Y86" s="254">
        <f>'расшифровки ВС'!S232</f>
        <v>23.2</v>
      </c>
      <c r="Z86" s="971">
        <v>21.945</v>
      </c>
      <c r="AA86" s="254">
        <f>'расшифровки ВС'!U232</f>
        <v>24.13</v>
      </c>
      <c r="AB86" s="971">
        <v>22.234999999999999</v>
      </c>
    </row>
    <row r="87" spans="2:31">
      <c r="B87" s="788"/>
      <c r="C87" s="20" t="s">
        <v>142</v>
      </c>
      <c r="D87" s="37" t="s">
        <v>138</v>
      </c>
      <c r="E87" s="38" t="s">
        <v>139</v>
      </c>
      <c r="F87" s="22">
        <v>29.93</v>
      </c>
      <c r="G87" s="22">
        <v>32.33</v>
      </c>
      <c r="H87" s="22">
        <v>33</v>
      </c>
      <c r="I87" s="22">
        <v>32.049999999999997</v>
      </c>
      <c r="J87" s="22">
        <v>33</v>
      </c>
      <c r="K87" s="22">
        <v>20.300999999999998</v>
      </c>
      <c r="L87" s="22">
        <v>33</v>
      </c>
      <c r="M87" s="22">
        <v>20.805</v>
      </c>
      <c r="N87" s="22">
        <v>17.678961999999999</v>
      </c>
      <c r="O87" s="765">
        <f t="shared" si="7"/>
        <v>-15.321038000000001</v>
      </c>
      <c r="P87" s="22">
        <v>20.878</v>
      </c>
      <c r="Q87" s="23">
        <v>20.644600159024336</v>
      </c>
      <c r="R87" s="22">
        <v>18</v>
      </c>
      <c r="S87" s="768">
        <f>'расшифровки ВС'!M231</f>
        <v>19.09</v>
      </c>
      <c r="T87" s="254">
        <v>20.861999999999998</v>
      </c>
      <c r="U87" s="22">
        <f>Q87</f>
        <v>20.644600159024336</v>
      </c>
      <c r="V87" s="971">
        <f>'расшифровки ВС'!O231</f>
        <v>20.64</v>
      </c>
      <c r="W87" s="254">
        <f>'расшифровки ВС'!Q231</f>
        <v>20.805</v>
      </c>
      <c r="X87" s="971">
        <f>W87</f>
        <v>20.805</v>
      </c>
      <c r="Y87" s="254">
        <f>'расшифровки ВС'!S231</f>
        <v>20.83</v>
      </c>
      <c r="Z87" s="971">
        <v>0</v>
      </c>
      <c r="AA87" s="254">
        <f>'расшифровки ВС'!U231</f>
        <v>20.83</v>
      </c>
      <c r="AB87" s="971">
        <v>0</v>
      </c>
    </row>
    <row r="88" spans="2:31" ht="57.75" hidden="1">
      <c r="B88" s="787" t="s">
        <v>23</v>
      </c>
      <c r="C88" s="14" t="s">
        <v>143</v>
      </c>
      <c r="D88" s="282" t="s">
        <v>1318</v>
      </c>
      <c r="E88" s="16" t="s">
        <v>22</v>
      </c>
      <c r="F88" s="22">
        <v>8426.7199999999993</v>
      </c>
      <c r="G88" s="22">
        <v>0</v>
      </c>
      <c r="H88" s="22">
        <v>7520.625</v>
      </c>
      <c r="I88" s="22">
        <v>0</v>
      </c>
      <c r="J88" s="22">
        <v>7701.12</v>
      </c>
      <c r="K88" s="22">
        <v>0</v>
      </c>
      <c r="L88" s="22">
        <v>0</v>
      </c>
      <c r="M88" s="22">
        <v>0</v>
      </c>
      <c r="N88" s="22">
        <v>0</v>
      </c>
      <c r="O88" s="765">
        <f t="shared" si="7"/>
        <v>0</v>
      </c>
      <c r="P88" s="22">
        <v>0</v>
      </c>
      <c r="Q88" s="23">
        <v>0</v>
      </c>
      <c r="R88" s="23"/>
      <c r="S88" s="810"/>
      <c r="T88" s="254">
        <v>0</v>
      </c>
      <c r="U88" s="22">
        <v>0</v>
      </c>
      <c r="V88" s="971"/>
      <c r="W88" s="254">
        <v>0</v>
      </c>
      <c r="X88" s="971">
        <v>0</v>
      </c>
      <c r="Y88" s="254">
        <v>0</v>
      </c>
      <c r="Z88" s="971">
        <v>0</v>
      </c>
      <c r="AA88" s="254">
        <v>0</v>
      </c>
      <c r="AB88" s="971">
        <v>0</v>
      </c>
    </row>
    <row r="89" spans="2:31" ht="63">
      <c r="B89" s="787" t="s">
        <v>23</v>
      </c>
      <c r="C89" s="14" t="s">
        <v>144</v>
      </c>
      <c r="D89" s="15" t="s">
        <v>145</v>
      </c>
      <c r="E89" s="16" t="s">
        <v>22</v>
      </c>
      <c r="F89" s="17">
        <v>217423.8444</v>
      </c>
      <c r="G89" s="17">
        <v>221638.61140847998</v>
      </c>
      <c r="H89" s="17">
        <v>214820.06276446127</v>
      </c>
      <c r="I89" s="17">
        <v>225564.85541903041</v>
      </c>
      <c r="J89" s="17">
        <v>221178.73662228932</v>
      </c>
      <c r="K89" s="17">
        <v>196275.14618039998</v>
      </c>
      <c r="L89" s="17">
        <f>L90+L101</f>
        <v>227068.72939854092</v>
      </c>
      <c r="M89" s="17">
        <v>239356.4561448106</v>
      </c>
      <c r="N89" s="17">
        <f>N90+N101</f>
        <v>272840.12800000003</v>
      </c>
      <c r="O89" s="765">
        <f t="shared" si="7"/>
        <v>45771.398601459106</v>
      </c>
      <c r="P89" s="17">
        <v>248928.97078789913</v>
      </c>
      <c r="Q89" s="18">
        <v>234012.39340012131</v>
      </c>
      <c r="R89" s="17">
        <f>R90+R101</f>
        <v>286340.60922600003</v>
      </c>
      <c r="S89" s="770">
        <f>S90+S101</f>
        <v>284821.86109000002</v>
      </c>
      <c r="T89" s="1101">
        <f>T90+T101</f>
        <v>298533.96682199999</v>
      </c>
      <c r="U89" s="17">
        <f>U90+U101</f>
        <v>240985.96272344491</v>
      </c>
      <c r="V89" s="970">
        <f>V90+V101</f>
        <v>319243.97202599997</v>
      </c>
      <c r="W89" s="1101">
        <f t="shared" ref="W89:AB89" si="10">W90+W101</f>
        <v>335620.90169999999</v>
      </c>
      <c r="X89" s="970">
        <f t="shared" si="10"/>
        <v>246686.76280552516</v>
      </c>
      <c r="Y89" s="1101">
        <f>Y90+Y101</f>
        <v>342333.31973400002</v>
      </c>
      <c r="Z89" s="970">
        <f t="shared" si="10"/>
        <v>261127.31410759798</v>
      </c>
      <c r="AA89" s="1101">
        <f t="shared" si="10"/>
        <v>349179.98612868006</v>
      </c>
      <c r="AB89" s="970">
        <f t="shared" si="10"/>
        <v>0</v>
      </c>
      <c r="AC89" s="1540">
        <f>X89/U89</f>
        <v>1.0236561500000001</v>
      </c>
      <c r="AD89" s="134"/>
    </row>
    <row r="90" spans="2:31" ht="31.5">
      <c r="B90" s="788"/>
      <c r="C90" s="14" t="s">
        <v>146</v>
      </c>
      <c r="D90" s="21" t="s">
        <v>147</v>
      </c>
      <c r="E90" s="16" t="s">
        <v>22</v>
      </c>
      <c r="F90" s="22">
        <v>166992.20000000001</v>
      </c>
      <c r="G90" s="22">
        <v>170229.34823999999</v>
      </c>
      <c r="H90" s="22">
        <v>164992.36771463999</v>
      </c>
      <c r="I90" s="22">
        <v>173244.89663520001</v>
      </c>
      <c r="J90" s="22">
        <v>169876.14179899334</v>
      </c>
      <c r="K90" s="22">
        <v>150748.9602</v>
      </c>
      <c r="L90" s="22">
        <v>174399.95345510056</v>
      </c>
      <c r="M90" s="22">
        <v>183837.51392551966</v>
      </c>
      <c r="N90" s="22">
        <v>209805.348</v>
      </c>
      <c r="O90" s="765">
        <f t="shared" si="7"/>
        <v>35405.394544899435</v>
      </c>
      <c r="P90" s="22">
        <v>191189.68570499166</v>
      </c>
      <c r="Q90" s="23">
        <v>179733.02104464002</v>
      </c>
      <c r="R90" s="323">
        <v>219923.663</v>
      </c>
      <c r="S90" s="816">
        <f>(154063474.03+64341153.06)/1000</f>
        <v>218404.62708999999</v>
      </c>
      <c r="T90" s="254">
        <v>229288.761</v>
      </c>
      <c r="U90" s="22">
        <f>U91*U92/1000*12</f>
        <v>185089.06507177028</v>
      </c>
      <c r="V90" s="971">
        <v>245195.06299999999</v>
      </c>
      <c r="W90" s="254">
        <v>257773.35</v>
      </c>
      <c r="X90" s="971">
        <f>U90*X1</f>
        <v>189467.55975846786</v>
      </c>
      <c r="Y90" s="254">
        <f>W90*1.02</f>
        <v>262928.81700000004</v>
      </c>
      <c r="Z90" s="971">
        <f>X90*Z2</f>
        <v>200558.61298586635</v>
      </c>
      <c r="AA90" s="254">
        <f>Y90*1.02</f>
        <v>268187.39334000007</v>
      </c>
      <c r="AB90" s="971">
        <v>0</v>
      </c>
    </row>
    <row r="91" spans="2:31" ht="31.5">
      <c r="B91" s="788"/>
      <c r="C91" s="33" t="s">
        <v>148</v>
      </c>
      <c r="D91" s="39" t="s">
        <v>149</v>
      </c>
      <c r="E91" s="16" t="s">
        <v>31</v>
      </c>
      <c r="F91" s="22"/>
      <c r="G91" s="22"/>
      <c r="H91" s="22"/>
      <c r="I91" s="22"/>
      <c r="J91" s="22"/>
      <c r="K91" s="22"/>
      <c r="L91" s="22"/>
      <c r="M91" s="22"/>
      <c r="N91" s="22">
        <v>563</v>
      </c>
      <c r="O91" s="765">
        <f t="shared" si="7"/>
        <v>563</v>
      </c>
      <c r="P91" s="22"/>
      <c r="Q91" s="23">
        <v>519.5</v>
      </c>
      <c r="R91" s="323">
        <v>566</v>
      </c>
      <c r="S91" s="816">
        <v>567</v>
      </c>
      <c r="T91" s="254">
        <v>568</v>
      </c>
      <c r="U91" s="22">
        <f>Q91</f>
        <v>519.5</v>
      </c>
      <c r="V91" s="971">
        <v>612</v>
      </c>
      <c r="W91" s="254">
        <v>622</v>
      </c>
      <c r="X91" s="971">
        <v>519</v>
      </c>
      <c r="Y91" s="254">
        <v>622</v>
      </c>
      <c r="Z91" s="971">
        <f>X91</f>
        <v>519</v>
      </c>
      <c r="AA91" s="254">
        <v>622</v>
      </c>
      <c r="AB91" s="971"/>
    </row>
    <row r="92" spans="2:31" ht="42">
      <c r="B92" s="788"/>
      <c r="C92" s="33" t="s">
        <v>150</v>
      </c>
      <c r="D92" s="29" t="s">
        <v>151</v>
      </c>
      <c r="E92" s="16" t="s">
        <v>152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31048</v>
      </c>
      <c r="O92" s="765">
        <f t="shared" si="7"/>
        <v>31048</v>
      </c>
      <c r="P92" s="17">
        <v>0</v>
      </c>
      <c r="Q92" s="18">
        <v>28831.090960000001</v>
      </c>
      <c r="R92" s="324">
        <f>R90/R91/12*1000</f>
        <v>32379.809040047116</v>
      </c>
      <c r="S92" s="817">
        <f>S90/S91/12*1000</f>
        <v>32099.445486478537</v>
      </c>
      <c r="T92" s="1104">
        <f>T90/T91/12*1000</f>
        <v>33639.783010563384</v>
      </c>
      <c r="U92" s="17">
        <f>Q92*U3</f>
        <v>29690.257470608001</v>
      </c>
      <c r="V92" s="974">
        <f>V90/V91/12*1000</f>
        <v>33387.12731481481</v>
      </c>
      <c r="W92" s="1101">
        <f>W90/W91/12*1000</f>
        <v>34535.550643086812</v>
      </c>
      <c r="X92" s="970">
        <f>X90/X91/12*1000</f>
        <v>30421.894630454059</v>
      </c>
      <c r="Y92" s="1101">
        <f>W92*1.02</f>
        <v>35226.261655948547</v>
      </c>
      <c r="Z92" s="970">
        <f>Z90/Z91/12*1000</f>
        <v>32202.731693299029</v>
      </c>
      <c r="AA92" s="1101">
        <f>Y92*1.02</f>
        <v>35930.786889067516</v>
      </c>
      <c r="AB92" s="970">
        <v>0</v>
      </c>
    </row>
    <row r="93" spans="2:31" ht="63">
      <c r="B93" s="788"/>
      <c r="C93" s="33" t="s">
        <v>153</v>
      </c>
      <c r="D93" s="29" t="s">
        <v>154</v>
      </c>
      <c r="E93" s="16" t="s">
        <v>31</v>
      </c>
      <c r="F93" s="22">
        <v>1090</v>
      </c>
      <c r="G93" s="22">
        <v>1014</v>
      </c>
      <c r="H93" s="22">
        <v>903.49</v>
      </c>
      <c r="I93" s="22">
        <v>937</v>
      </c>
      <c r="J93" s="22">
        <v>937</v>
      </c>
      <c r="K93" s="22">
        <v>768</v>
      </c>
      <c r="L93" s="22">
        <v>903.49</v>
      </c>
      <c r="M93" s="22">
        <v>925</v>
      </c>
      <c r="N93" s="22"/>
      <c r="O93" s="765">
        <f t="shared" si="7"/>
        <v>-903.49</v>
      </c>
      <c r="P93" s="22"/>
      <c r="Q93" s="23">
        <v>0</v>
      </c>
      <c r="R93" s="23"/>
      <c r="S93" s="810">
        <v>567</v>
      </c>
      <c r="T93" s="254"/>
      <c r="U93" s="22">
        <v>0</v>
      </c>
      <c r="V93" s="971">
        <v>612</v>
      </c>
      <c r="W93" s="254">
        <v>622</v>
      </c>
      <c r="X93" s="971">
        <v>0</v>
      </c>
      <c r="Y93" s="254">
        <v>622</v>
      </c>
      <c r="Z93" s="971">
        <v>0</v>
      </c>
      <c r="AA93" s="254">
        <v>622</v>
      </c>
      <c r="AB93" s="971"/>
    </row>
    <row r="94" spans="2:31" ht="63" hidden="1">
      <c r="B94" s="788"/>
      <c r="C94" s="33" t="s">
        <v>155</v>
      </c>
      <c r="D94" s="29" t="s">
        <v>156</v>
      </c>
      <c r="E94" s="16" t="s">
        <v>31</v>
      </c>
      <c r="F94" s="22"/>
      <c r="G94" s="22"/>
      <c r="H94" s="22"/>
      <c r="I94" s="22"/>
      <c r="J94" s="22"/>
      <c r="K94" s="22"/>
      <c r="L94" s="22"/>
      <c r="M94" s="22"/>
      <c r="N94" s="22"/>
      <c r="O94" s="765">
        <f t="shared" si="7"/>
        <v>0</v>
      </c>
      <c r="P94" s="22"/>
      <c r="Q94" s="23"/>
      <c r="R94" s="23"/>
      <c r="S94" s="810"/>
      <c r="T94" s="254"/>
      <c r="U94" s="22"/>
      <c r="V94" s="971"/>
      <c r="W94" s="254"/>
      <c r="X94" s="971"/>
      <c r="Y94" s="254"/>
      <c r="Z94" s="971"/>
      <c r="AA94" s="254"/>
      <c r="AB94" s="971"/>
    </row>
    <row r="95" spans="2:31" ht="21" hidden="1">
      <c r="B95" s="788"/>
      <c r="C95" s="33" t="s">
        <v>157</v>
      </c>
      <c r="D95" s="29" t="s">
        <v>158</v>
      </c>
      <c r="E95" s="16" t="s">
        <v>152</v>
      </c>
      <c r="F95" s="22"/>
      <c r="G95" s="22"/>
      <c r="H95" s="22"/>
      <c r="I95" s="22"/>
      <c r="J95" s="22"/>
      <c r="K95" s="22"/>
      <c r="L95" s="22"/>
      <c r="M95" s="22"/>
      <c r="N95" s="22"/>
      <c r="O95" s="765">
        <f t="shared" si="7"/>
        <v>0</v>
      </c>
      <c r="P95" s="22"/>
      <c r="Q95" s="23"/>
      <c r="R95" s="23"/>
      <c r="S95" s="810"/>
      <c r="T95" s="254"/>
      <c r="U95" s="22"/>
      <c r="V95" s="971"/>
      <c r="W95" s="254"/>
      <c r="X95" s="971"/>
      <c r="Y95" s="254"/>
      <c r="Z95" s="971"/>
      <c r="AA95" s="254"/>
      <c r="AB95" s="971"/>
    </row>
    <row r="96" spans="2:31" ht="31.5" hidden="1">
      <c r="B96" s="788"/>
      <c r="C96" s="33" t="s">
        <v>159</v>
      </c>
      <c r="D96" s="29" t="s">
        <v>160</v>
      </c>
      <c r="E96" s="16"/>
      <c r="F96" s="22"/>
      <c r="G96" s="22"/>
      <c r="H96" s="22"/>
      <c r="I96" s="22"/>
      <c r="J96" s="22"/>
      <c r="K96" s="22"/>
      <c r="L96" s="22"/>
      <c r="M96" s="22"/>
      <c r="N96" s="22"/>
      <c r="O96" s="765">
        <f t="shared" si="7"/>
        <v>0</v>
      </c>
      <c r="P96" s="22"/>
      <c r="Q96" s="23"/>
      <c r="R96" s="23"/>
      <c r="S96" s="810"/>
      <c r="T96" s="254"/>
      <c r="U96" s="22"/>
      <c r="V96" s="971"/>
      <c r="W96" s="254"/>
      <c r="X96" s="971"/>
      <c r="Y96" s="254"/>
      <c r="Z96" s="971"/>
      <c r="AA96" s="254"/>
      <c r="AB96" s="971"/>
    </row>
    <row r="97" spans="1:30" ht="31.5" hidden="1">
      <c r="B97" s="788"/>
      <c r="C97" s="33" t="s">
        <v>161</v>
      </c>
      <c r="D97" s="29" t="s">
        <v>162</v>
      </c>
      <c r="E97" s="16" t="s">
        <v>152</v>
      </c>
      <c r="F97" s="22">
        <v>7479</v>
      </c>
      <c r="G97" s="22">
        <v>7479</v>
      </c>
      <c r="H97" s="22">
        <v>7893</v>
      </c>
      <c r="I97" s="22">
        <v>7893</v>
      </c>
      <c r="J97" s="22">
        <v>8288</v>
      </c>
      <c r="K97" s="22">
        <v>8288</v>
      </c>
      <c r="L97" s="22">
        <v>8702</v>
      </c>
      <c r="M97" s="22">
        <v>8702</v>
      </c>
      <c r="N97" s="22">
        <v>9097</v>
      </c>
      <c r="O97" s="765">
        <f t="shared" si="7"/>
        <v>395</v>
      </c>
      <c r="P97" s="22">
        <v>9050.08</v>
      </c>
      <c r="Q97" s="23"/>
      <c r="R97" s="23"/>
      <c r="S97" s="810"/>
      <c r="T97" s="254">
        <v>9412.0832000000009</v>
      </c>
      <c r="U97" s="22"/>
      <c r="V97" s="971"/>
      <c r="W97" s="254">
        <v>9839.44</v>
      </c>
      <c r="X97" s="971"/>
      <c r="Y97" s="254">
        <v>10180.109189120001</v>
      </c>
      <c r="Z97" s="971"/>
      <c r="AA97" s="254">
        <v>10220.829625876482</v>
      </c>
      <c r="AB97" s="971"/>
    </row>
    <row r="98" spans="1:30" ht="21" hidden="1">
      <c r="B98" s="788"/>
      <c r="C98" s="33" t="s">
        <v>163</v>
      </c>
      <c r="D98" s="29" t="s">
        <v>164</v>
      </c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765">
        <f t="shared" si="7"/>
        <v>0</v>
      </c>
      <c r="P98" s="22"/>
      <c r="Q98" s="23"/>
      <c r="R98" s="23"/>
      <c r="S98" s="810"/>
      <c r="T98" s="254"/>
      <c r="U98" s="22"/>
      <c r="V98" s="971"/>
      <c r="W98" s="254"/>
      <c r="X98" s="971"/>
      <c r="Y98" s="254"/>
      <c r="Z98" s="971"/>
      <c r="AA98" s="254"/>
      <c r="AB98" s="971"/>
    </row>
    <row r="99" spans="1:30" ht="21" hidden="1">
      <c r="B99" s="788"/>
      <c r="C99" s="33" t="s">
        <v>165</v>
      </c>
      <c r="D99" s="29" t="s">
        <v>166</v>
      </c>
      <c r="E99" s="16" t="s">
        <v>152</v>
      </c>
      <c r="F99" s="22"/>
      <c r="G99" s="22"/>
      <c r="H99" s="22"/>
      <c r="I99" s="22"/>
      <c r="J99" s="22"/>
      <c r="K99" s="22"/>
      <c r="L99" s="22"/>
      <c r="M99" s="22"/>
      <c r="N99" s="22"/>
      <c r="O99" s="765">
        <f t="shared" si="7"/>
        <v>0</v>
      </c>
      <c r="P99" s="22"/>
      <c r="Q99" s="23"/>
      <c r="R99" s="23"/>
      <c r="S99" s="810"/>
      <c r="T99" s="254"/>
      <c r="U99" s="22"/>
      <c r="V99" s="971"/>
      <c r="W99" s="254"/>
      <c r="X99" s="971"/>
      <c r="Y99" s="254"/>
      <c r="Z99" s="971"/>
      <c r="AA99" s="254"/>
      <c r="AB99" s="971"/>
    </row>
    <row r="100" spans="1:30" ht="42" hidden="1">
      <c r="B100" s="788"/>
      <c r="C100" s="33" t="s">
        <v>167</v>
      </c>
      <c r="D100" s="29" t="s">
        <v>168</v>
      </c>
      <c r="E100" s="16" t="s">
        <v>152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765">
        <f t="shared" si="7"/>
        <v>0</v>
      </c>
      <c r="P100" s="22"/>
      <c r="Q100" s="23"/>
      <c r="R100" s="23"/>
      <c r="S100" s="810"/>
      <c r="T100" s="254"/>
      <c r="U100" s="22"/>
      <c r="V100" s="971"/>
      <c r="W100" s="254"/>
      <c r="X100" s="971"/>
      <c r="Y100" s="254"/>
      <c r="Z100" s="971"/>
      <c r="AA100" s="254"/>
      <c r="AB100" s="971"/>
    </row>
    <row r="101" spans="1:30" ht="42">
      <c r="B101" s="788"/>
      <c r="C101" s="14" t="s">
        <v>169</v>
      </c>
      <c r="D101" s="40" t="s">
        <v>170</v>
      </c>
      <c r="E101" s="16" t="s">
        <v>22</v>
      </c>
      <c r="F101" s="22">
        <v>50431.644400000005</v>
      </c>
      <c r="G101" s="22">
        <v>51409.263168479993</v>
      </c>
      <c r="H101" s="22">
        <v>49827.695049821275</v>
      </c>
      <c r="I101" s="22">
        <v>52319.9587838304</v>
      </c>
      <c r="J101" s="22">
        <v>51302.594823295985</v>
      </c>
      <c r="K101" s="22">
        <v>45526.185980399998</v>
      </c>
      <c r="L101" s="22">
        <v>52668.775943440363</v>
      </c>
      <c r="M101" s="22">
        <v>55518.942219290933</v>
      </c>
      <c r="N101" s="22">
        <v>63034.78</v>
      </c>
      <c r="O101" s="765">
        <f t="shared" si="7"/>
        <v>10366.004056559636</v>
      </c>
      <c r="P101" s="22">
        <v>57739.285082907481</v>
      </c>
      <c r="Q101" s="23">
        <v>54279.372355481282</v>
      </c>
      <c r="R101" s="323">
        <f>R90*0.302</f>
        <v>66416.946226</v>
      </c>
      <c r="S101" s="816">
        <f>47647.389+18769.845</f>
        <v>66417.233999999997</v>
      </c>
      <c r="T101" s="1105">
        <f t="shared" ref="T101:Y101" si="11">T90*0.302</f>
        <v>69245.205822000004</v>
      </c>
      <c r="U101" s="323">
        <f t="shared" si="11"/>
        <v>55896.897651674626</v>
      </c>
      <c r="V101" s="975">
        <f t="shared" si="11"/>
        <v>74048.909025999994</v>
      </c>
      <c r="W101" s="1105">
        <f t="shared" si="11"/>
        <v>77847.551699999996</v>
      </c>
      <c r="X101" s="975">
        <f t="shared" si="11"/>
        <v>57219.203047057294</v>
      </c>
      <c r="Y101" s="1105">
        <f t="shared" si="11"/>
        <v>79404.502734000009</v>
      </c>
      <c r="Z101" s="975">
        <f>X101*Z2</f>
        <v>60568.701121731632</v>
      </c>
      <c r="AA101" s="1105">
        <f>AA90*0.302</f>
        <v>80992.59278868002</v>
      </c>
      <c r="AB101" s="975">
        <f>AB90*0.302</f>
        <v>0</v>
      </c>
    </row>
    <row r="102" spans="1:30" s="45" customFormat="1" ht="63">
      <c r="A102" s="41"/>
      <c r="B102" s="790" t="s">
        <v>171</v>
      </c>
      <c r="C102" s="42" t="s">
        <v>172</v>
      </c>
      <c r="D102" s="736" t="s">
        <v>173</v>
      </c>
      <c r="E102" s="43" t="s">
        <v>22</v>
      </c>
      <c r="F102" s="44">
        <v>15270.54</v>
      </c>
      <c r="G102" s="44">
        <v>17600.579999999998</v>
      </c>
      <c r="H102" s="44">
        <v>22829.94</v>
      </c>
      <c r="I102" s="44">
        <v>26249.050000000003</v>
      </c>
      <c r="J102" s="44">
        <v>26541</v>
      </c>
      <c r="K102" s="44">
        <v>33011.599896084976</v>
      </c>
      <c r="L102" s="44">
        <v>28188.520000000004</v>
      </c>
      <c r="M102" s="44">
        <v>30957.685221966371</v>
      </c>
      <c r="N102" s="44">
        <v>26026.774000000001</v>
      </c>
      <c r="O102" s="765">
        <f t="shared" si="7"/>
        <v>-2161.7460000000028</v>
      </c>
      <c r="P102" s="44">
        <v>17298.722831050232</v>
      </c>
      <c r="Q102" s="44">
        <v>4869.3369610808331</v>
      </c>
      <c r="R102" s="44">
        <f>проценты!E99</f>
        <v>24309.684160937199</v>
      </c>
      <c r="S102" s="818">
        <f>26767.885</f>
        <v>26767.884999999998</v>
      </c>
      <c r="T102" s="1106">
        <f>проценты!I99</f>
        <v>23454.358282852012</v>
      </c>
      <c r="U102" s="44">
        <f>Q102*V3</f>
        <v>4962.8494123493665</v>
      </c>
      <c r="V102" s="976">
        <f>проценты!J99</f>
        <v>24348.79092767751</v>
      </c>
      <c r="W102" s="1106">
        <f>проценты!N99</f>
        <v>20728.765952165748</v>
      </c>
      <c r="X102" s="976">
        <v>4932.8500000000004</v>
      </c>
      <c r="Y102" s="1106">
        <f>проценты!R99</f>
        <v>16783.127203807609</v>
      </c>
      <c r="Z102" s="976">
        <v>4064.57</v>
      </c>
      <c r="AA102" s="1106">
        <f>проценты!V99</f>
        <v>9294.6301137258579</v>
      </c>
      <c r="AB102" s="976">
        <v>0</v>
      </c>
      <c r="AD102" s="134"/>
    </row>
    <row r="103" spans="1:30" ht="21">
      <c r="B103" s="787" t="s">
        <v>23</v>
      </c>
      <c r="C103" s="14" t="s">
        <v>174</v>
      </c>
      <c r="D103" s="15" t="s">
        <v>175</v>
      </c>
      <c r="E103" s="16" t="s">
        <v>22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765">
        <f t="shared" si="7"/>
        <v>0</v>
      </c>
      <c r="P103" s="22"/>
      <c r="Q103" s="23"/>
      <c r="R103" s="23"/>
      <c r="S103" s="810"/>
      <c r="T103" s="254"/>
      <c r="U103" s="22"/>
      <c r="V103" s="971"/>
      <c r="W103" s="254"/>
      <c r="X103" s="971"/>
      <c r="Y103" s="254"/>
      <c r="Z103" s="971"/>
      <c r="AA103" s="254"/>
      <c r="AB103" s="971"/>
      <c r="AD103" s="134"/>
    </row>
    <row r="104" spans="1:30" ht="21">
      <c r="B104" s="787" t="s">
        <v>23</v>
      </c>
      <c r="C104" s="14" t="s">
        <v>176</v>
      </c>
      <c r="D104" s="15" t="s">
        <v>177</v>
      </c>
      <c r="E104" s="16" t="s">
        <v>22</v>
      </c>
      <c r="F104" s="17">
        <v>1583.56</v>
      </c>
      <c r="G104" s="17">
        <v>12129.46</v>
      </c>
      <c r="H104" s="17">
        <v>16349.73</v>
      </c>
      <c r="I104" s="17">
        <v>20850.68</v>
      </c>
      <c r="J104" s="17">
        <v>16833.682008</v>
      </c>
      <c r="K104" s="17">
        <v>42284.691999999995</v>
      </c>
      <c r="L104" s="17">
        <v>17281.96</v>
      </c>
      <c r="M104" s="17">
        <v>43586.33238</v>
      </c>
      <c r="N104" s="17">
        <f>SUM(N105:N110)</f>
        <v>58070.288</v>
      </c>
      <c r="O104" s="765">
        <f t="shared" si="7"/>
        <v>40788.328000000001</v>
      </c>
      <c r="P104" s="17">
        <f>SUM(P105:P110)</f>
        <v>45329.785675200001</v>
      </c>
      <c r="Q104" s="18">
        <v>33390.07773583199</v>
      </c>
      <c r="R104" s="17">
        <f>SUM(R105:R110)</f>
        <v>60393.099520000003</v>
      </c>
      <c r="S104" s="770">
        <f>SUM(S105:S110)</f>
        <v>58849.364999999998</v>
      </c>
      <c r="T104" s="1101">
        <f>SUM(T105:T110)</f>
        <v>62808.823500800005</v>
      </c>
      <c r="U104" s="17">
        <f>SUM(U105:U110)</f>
        <v>34385.102052359791</v>
      </c>
      <c r="V104" s="970">
        <f>SUM(V105:V110)</f>
        <v>61094.3995</v>
      </c>
      <c r="W104" s="1101">
        <f t="shared" ref="W104:AB104" si="12">SUM(W105:W110)</f>
        <v>61490.485012735997</v>
      </c>
      <c r="X104" s="970">
        <f t="shared" si="12"/>
        <v>35198.52118427572</v>
      </c>
      <c r="Y104" s="1101">
        <f t="shared" si="12"/>
        <v>64175.945788231686</v>
      </c>
      <c r="Z104" s="970">
        <f t="shared" si="12"/>
        <v>37258.972442940685</v>
      </c>
      <c r="AA104" s="1101">
        <f t="shared" si="12"/>
        <v>66742.983619760955</v>
      </c>
      <c r="AB104" s="970">
        <f t="shared" si="12"/>
        <v>0</v>
      </c>
      <c r="AC104" s="1540">
        <f>X104/U104</f>
        <v>1.0236561499999999</v>
      </c>
    </row>
    <row r="105" spans="1:30" ht="21">
      <c r="B105" s="788"/>
      <c r="C105" s="20" t="s">
        <v>178</v>
      </c>
      <c r="D105" s="46" t="s">
        <v>179</v>
      </c>
      <c r="E105" s="16" t="s">
        <v>22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/>
      <c r="O105" s="765">
        <f t="shared" si="7"/>
        <v>0</v>
      </c>
      <c r="P105" s="22">
        <v>0</v>
      </c>
      <c r="Q105" s="23">
        <v>0</v>
      </c>
      <c r="R105" s="23"/>
      <c r="S105" s="810"/>
      <c r="T105" s="254">
        <v>0</v>
      </c>
      <c r="U105" s="22">
        <v>0</v>
      </c>
      <c r="V105" s="971"/>
      <c r="W105" s="254">
        <v>0</v>
      </c>
      <c r="X105" s="971">
        <f t="shared" ref="X105:X110" si="13">U105*$X$1</f>
        <v>0</v>
      </c>
      <c r="Y105" s="254">
        <v>0</v>
      </c>
      <c r="Z105" s="971">
        <v>0</v>
      </c>
      <c r="AA105" s="254">
        <v>0</v>
      </c>
      <c r="AB105" s="971">
        <v>0</v>
      </c>
    </row>
    <row r="106" spans="1:30">
      <c r="B106" s="788"/>
      <c r="C106" s="33" t="s">
        <v>615</v>
      </c>
      <c r="D106" s="47" t="s">
        <v>616</v>
      </c>
      <c r="E106" s="16" t="s">
        <v>22</v>
      </c>
      <c r="F106" s="22">
        <v>1583.56</v>
      </c>
      <c r="G106" s="22">
        <v>1595.46</v>
      </c>
      <c r="H106" s="22">
        <v>2102.9499999999998</v>
      </c>
      <c r="I106" s="22">
        <v>2469.6499999999996</v>
      </c>
      <c r="J106" s="22">
        <v>2165.1973199999998</v>
      </c>
      <c r="K106" s="22">
        <v>2451.6419999999998</v>
      </c>
      <c r="L106" s="22">
        <v>2222.85</v>
      </c>
      <c r="M106" s="22">
        <v>2574.2240999999999</v>
      </c>
      <c r="N106" s="22">
        <f>581.631+6.735+85.418+324.239+20.603+3114.262+45.872</f>
        <v>4178.76</v>
      </c>
      <c r="O106" s="765">
        <f t="shared" si="7"/>
        <v>1955.9100000000003</v>
      </c>
      <c r="P106" s="22">
        <v>2677.193064</v>
      </c>
      <c r="Q106" s="23">
        <v>2633.6568053639999</v>
      </c>
      <c r="R106" s="22">
        <f>N106*1.04</f>
        <v>4345.9104000000007</v>
      </c>
      <c r="S106" s="768">
        <f>1462.531+197.869+271.253+102.325+283.313+1169.487</f>
        <v>3486.7779999999998</v>
      </c>
      <c r="T106" s="254">
        <f>R106*1.04</f>
        <v>4519.7468160000008</v>
      </c>
      <c r="U106" s="22">
        <f>Q106*$U$3</f>
        <v>2712.139778163847</v>
      </c>
      <c r="V106" s="971">
        <f>'расшифровки ВС'!O285</f>
        <v>3626.2491199999999</v>
      </c>
      <c r="W106" s="254">
        <f>'расшифровки ВС'!Q285</f>
        <v>3771.2990847999999</v>
      </c>
      <c r="X106" s="971">
        <f t="shared" si="13"/>
        <v>2776.2985635770578</v>
      </c>
      <c r="Y106" s="254">
        <f>'расшифровки ВС'!S285</f>
        <v>3922.151048192</v>
      </c>
      <c r="Z106" s="971">
        <f>X106*Z2</f>
        <v>2938.8175466844386</v>
      </c>
      <c r="AA106" s="254">
        <f>'расшифровки ВС'!U285</f>
        <v>4079.0370901196802</v>
      </c>
      <c r="AB106" s="971">
        <v>0</v>
      </c>
    </row>
    <row r="107" spans="1:30" ht="31.5">
      <c r="B107" s="788"/>
      <c r="C107" s="20" t="s">
        <v>180</v>
      </c>
      <c r="D107" s="46" t="s">
        <v>181</v>
      </c>
      <c r="E107" s="16" t="s">
        <v>22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/>
      <c r="O107" s="765">
        <f t="shared" si="7"/>
        <v>0</v>
      </c>
      <c r="P107" s="22">
        <v>0</v>
      </c>
      <c r="Q107" s="23">
        <v>0</v>
      </c>
      <c r="R107" s="23"/>
      <c r="S107" s="810"/>
      <c r="T107" s="254">
        <v>0</v>
      </c>
      <c r="U107" s="22">
        <f>Q107*$U$3</f>
        <v>0</v>
      </c>
      <c r="V107" s="971"/>
      <c r="W107" s="254">
        <v>0</v>
      </c>
      <c r="X107" s="971">
        <f t="shared" si="13"/>
        <v>0</v>
      </c>
      <c r="Y107" s="254">
        <v>0</v>
      </c>
      <c r="Z107" s="971">
        <v>0</v>
      </c>
      <c r="AA107" s="254">
        <v>0</v>
      </c>
      <c r="AB107" s="971">
        <v>0</v>
      </c>
    </row>
    <row r="108" spans="1:30" ht="31.5">
      <c r="B108" s="788"/>
      <c r="C108" s="20" t="s">
        <v>182</v>
      </c>
      <c r="D108" s="46" t="s">
        <v>183</v>
      </c>
      <c r="E108" s="16" t="s">
        <v>22</v>
      </c>
      <c r="F108" s="22">
        <v>0</v>
      </c>
      <c r="G108" s="22">
        <v>10534</v>
      </c>
      <c r="H108" s="22">
        <v>11569.28</v>
      </c>
      <c r="I108" s="22">
        <v>14329.49</v>
      </c>
      <c r="J108" s="22">
        <v>11911.730688000001</v>
      </c>
      <c r="K108" s="22">
        <v>36154.199999999997</v>
      </c>
      <c r="L108" s="22">
        <v>12228.94</v>
      </c>
      <c r="M108" s="22">
        <v>37224.364320000001</v>
      </c>
      <c r="N108" s="22">
        <v>41285.832999999999</v>
      </c>
      <c r="O108" s="765">
        <f t="shared" si="7"/>
        <v>29056.892999999996</v>
      </c>
      <c r="P108" s="22">
        <v>38713.338892799999</v>
      </c>
      <c r="Q108" s="23">
        <v>27794.999999999993</v>
      </c>
      <c r="R108" s="22">
        <f>N108*1.04</f>
        <v>42937.266320000002</v>
      </c>
      <c r="S108" s="768">
        <f>41751.703-2302.43</f>
        <v>39449.273000000001</v>
      </c>
      <c r="T108" s="254">
        <f>R108*1.04</f>
        <v>44654.756972800002</v>
      </c>
      <c r="U108" s="22">
        <f>Q108*$U$3</f>
        <v>28623.290999999994</v>
      </c>
      <c r="V108" s="971">
        <f>'расшифровки ВС'!O299</f>
        <v>41027.243920000001</v>
      </c>
      <c r="W108" s="254">
        <f>'расшифровки ВС'!Q299</f>
        <v>42668.333676800001</v>
      </c>
      <c r="X108" s="971">
        <f t="shared" si="13"/>
        <v>29300.407865389647</v>
      </c>
      <c r="Y108" s="254">
        <f>'расшифровки ВС'!S299</f>
        <v>44375.067023872005</v>
      </c>
      <c r="Z108" s="971">
        <f>X108*Z2</f>
        <v>31015.595328793908</v>
      </c>
      <c r="AA108" s="254">
        <f>'расшифровки ВС'!U299</f>
        <v>46150.069704826885</v>
      </c>
      <c r="AB108" s="971">
        <v>0</v>
      </c>
      <c r="AC108" s="134"/>
    </row>
    <row r="109" spans="1:30">
      <c r="B109" s="788"/>
      <c r="C109" s="20" t="s">
        <v>184</v>
      </c>
      <c r="D109" s="46" t="s">
        <v>185</v>
      </c>
      <c r="E109" s="16" t="s">
        <v>22</v>
      </c>
      <c r="F109" s="22">
        <v>0</v>
      </c>
      <c r="G109" s="22">
        <v>0</v>
      </c>
      <c r="H109" s="22">
        <v>2677.5</v>
      </c>
      <c r="I109" s="22">
        <v>4051.54</v>
      </c>
      <c r="J109" s="22">
        <v>2756.7540000000004</v>
      </c>
      <c r="K109" s="22">
        <v>3678.85</v>
      </c>
      <c r="L109" s="22">
        <v>2830.17</v>
      </c>
      <c r="M109" s="22">
        <v>3787.7439600000002</v>
      </c>
      <c r="N109" s="22">
        <f>1064.779+2987.017</f>
        <v>4051.7959999999998</v>
      </c>
      <c r="O109" s="765">
        <f t="shared" si="7"/>
        <v>1221.6259999999997</v>
      </c>
      <c r="P109" s="22">
        <v>3939.2537184000003</v>
      </c>
      <c r="Q109" s="23">
        <v>2961.4209304679998</v>
      </c>
      <c r="R109" s="22">
        <f>N109*1.04</f>
        <v>4213.8678399999999</v>
      </c>
      <c r="S109" s="768">
        <f>212.237+1059.742+138.31+2915.955+762.12-69.06</f>
        <v>5019.3039999999992</v>
      </c>
      <c r="T109" s="254">
        <f>R109*1.04</f>
        <v>4382.4225536000004</v>
      </c>
      <c r="U109" s="22">
        <f>Q109*$U$3</f>
        <v>3049.6712741959464</v>
      </c>
      <c r="V109" s="971">
        <f>'расшифровки ВС'!O301</f>
        <v>5220.0761599999996</v>
      </c>
      <c r="W109" s="254">
        <f>'расшифровки ВС'!Q301</f>
        <v>5428.8792063999999</v>
      </c>
      <c r="X109" s="971">
        <f t="shared" si="13"/>
        <v>3121.8147553090171</v>
      </c>
      <c r="Y109" s="254">
        <f>'расшифровки ВС'!U301</f>
        <v>5871.8757496422404</v>
      </c>
      <c r="Z109" s="971">
        <f>X109*Z2</f>
        <v>3304.5595674623428</v>
      </c>
      <c r="AA109" s="254">
        <f>Y109*1.04</f>
        <v>6106.7507796279306</v>
      </c>
      <c r="AB109" s="971">
        <v>0</v>
      </c>
    </row>
    <row r="110" spans="1:30" ht="21">
      <c r="B110" s="788"/>
      <c r="C110" s="20" t="s">
        <v>1265</v>
      </c>
      <c r="D110" s="46" t="s">
        <v>1266</v>
      </c>
      <c r="E110" s="16" t="s">
        <v>22</v>
      </c>
      <c r="F110" s="22"/>
      <c r="G110" s="22"/>
      <c r="H110" s="22"/>
      <c r="I110" s="22"/>
      <c r="J110" s="22"/>
      <c r="K110" s="22"/>
      <c r="L110" s="22"/>
      <c r="M110" s="22"/>
      <c r="N110" s="22">
        <f>5305.519+3248.38</f>
        <v>8553.8990000000013</v>
      </c>
      <c r="O110" s="765"/>
      <c r="P110" s="22"/>
      <c r="Q110" s="23"/>
      <c r="R110" s="22">
        <f>N110*1.04</f>
        <v>8896.0549600000013</v>
      </c>
      <c r="S110" s="768">
        <f>5469.72+5424.29</f>
        <v>10894.01</v>
      </c>
      <c r="T110" s="254">
        <f>R110*1.04</f>
        <v>9251.897158400001</v>
      </c>
      <c r="U110" s="22">
        <f>Q110*$U$3</f>
        <v>0</v>
      </c>
      <c r="V110" s="971">
        <f>S110*1.03</f>
        <v>11220.8303</v>
      </c>
      <c r="W110" s="254">
        <f>T110*1.04</f>
        <v>9621.9730447360016</v>
      </c>
      <c r="X110" s="971">
        <f t="shared" si="13"/>
        <v>0</v>
      </c>
      <c r="Y110" s="254">
        <f>W110*1.04</f>
        <v>10006.851966525443</v>
      </c>
      <c r="Z110" s="971">
        <v>0</v>
      </c>
      <c r="AA110" s="254">
        <f>Y110*1.04</f>
        <v>10407.12604518646</v>
      </c>
      <c r="AB110" s="971"/>
      <c r="AC110" s="134"/>
    </row>
    <row r="111" spans="1:30">
      <c r="B111" s="787" t="s">
        <v>23</v>
      </c>
      <c r="C111" s="14" t="s">
        <v>186</v>
      </c>
      <c r="D111" s="15" t="s">
        <v>187</v>
      </c>
      <c r="E111" s="16" t="s">
        <v>22</v>
      </c>
      <c r="F111" s="17">
        <v>50533.281079999993</v>
      </c>
      <c r="G111" s="17">
        <v>43303.885049999997</v>
      </c>
      <c r="H111" s="17">
        <v>14929.515769999998</v>
      </c>
      <c r="I111" s="17">
        <v>28675.175200000001</v>
      </c>
      <c r="J111" s="17">
        <v>15371.419436792001</v>
      </c>
      <c r="K111" s="17">
        <v>16786.236680000002</v>
      </c>
      <c r="L111" s="17">
        <v>15780.760602693768</v>
      </c>
      <c r="M111" s="17">
        <v>27745.5</v>
      </c>
      <c r="N111" s="17">
        <f>N115</f>
        <v>19671.142328000005</v>
      </c>
      <c r="O111" s="765">
        <f t="shared" si="7"/>
        <v>3890.3817253062371</v>
      </c>
      <c r="P111" s="17">
        <v>33844.885750000001</v>
      </c>
      <c r="Q111" s="18">
        <v>13607.787896380356</v>
      </c>
      <c r="R111" s="17">
        <f t="shared" ref="R111:W111" si="14">R115</f>
        <v>20720.658815999999</v>
      </c>
      <c r="S111" s="770">
        <f t="shared" si="14"/>
        <v>12324.536199999999</v>
      </c>
      <c r="T111" s="1101">
        <f t="shared" si="14"/>
        <v>12817.517647999999</v>
      </c>
      <c r="U111" s="17">
        <f t="shared" si="14"/>
        <v>14009.34997569249</v>
      </c>
      <c r="V111" s="970">
        <f t="shared" si="14"/>
        <v>12817.517647999999</v>
      </c>
      <c r="W111" s="1101">
        <f t="shared" si="14"/>
        <v>13479.730883266209</v>
      </c>
      <c r="X111" s="970">
        <f>U111*X1</f>
        <v>14340.75726011997</v>
      </c>
      <c r="Y111" s="1101">
        <f>Y115</f>
        <v>13900.584402845127</v>
      </c>
      <c r="Z111" s="970">
        <f>Z115</f>
        <v>15180.236600519735</v>
      </c>
      <c r="AA111" s="1101">
        <f>AA115</f>
        <v>14453.170505800312</v>
      </c>
      <c r="AB111" s="970">
        <f>AB115</f>
        <v>0</v>
      </c>
      <c r="AC111" s="1540">
        <f>X111/U111</f>
        <v>1.0236561500000001</v>
      </c>
    </row>
    <row r="112" spans="1:30" ht="21">
      <c r="B112" s="788"/>
      <c r="C112" s="20" t="s">
        <v>188</v>
      </c>
      <c r="D112" s="21" t="s">
        <v>189</v>
      </c>
      <c r="E112" s="16" t="s">
        <v>22</v>
      </c>
      <c r="F112" s="22">
        <v>28308.9349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/>
      <c r="O112" s="765">
        <f t="shared" si="7"/>
        <v>0</v>
      </c>
      <c r="P112" s="22">
        <v>0</v>
      </c>
      <c r="Q112" s="23">
        <v>0</v>
      </c>
      <c r="R112" s="23"/>
      <c r="S112" s="810"/>
      <c r="T112" s="254">
        <v>0</v>
      </c>
      <c r="U112" s="22">
        <v>0</v>
      </c>
      <c r="V112" s="971"/>
      <c r="W112" s="254">
        <v>0</v>
      </c>
      <c r="X112" s="971">
        <v>0</v>
      </c>
      <c r="Y112" s="254">
        <v>0</v>
      </c>
      <c r="Z112" s="971">
        <v>0</v>
      </c>
      <c r="AA112" s="254">
        <v>0</v>
      </c>
      <c r="AB112" s="971">
        <v>0</v>
      </c>
    </row>
    <row r="113" spans="2:31" ht="42">
      <c r="B113" s="788"/>
      <c r="C113" s="20" t="s">
        <v>190</v>
      </c>
      <c r="D113" s="40" t="s">
        <v>191</v>
      </c>
      <c r="E113" s="16" t="s">
        <v>22</v>
      </c>
      <c r="F113" s="22">
        <v>8549.2957499999993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/>
      <c r="O113" s="765">
        <f t="shared" si="7"/>
        <v>0</v>
      </c>
      <c r="P113" s="22">
        <v>0</v>
      </c>
      <c r="Q113" s="23">
        <v>0</v>
      </c>
      <c r="R113" s="23"/>
      <c r="S113" s="810"/>
      <c r="T113" s="254">
        <v>0</v>
      </c>
      <c r="U113" s="22">
        <v>0</v>
      </c>
      <c r="V113" s="971"/>
      <c r="W113" s="254">
        <v>0</v>
      </c>
      <c r="X113" s="971">
        <v>0</v>
      </c>
      <c r="Y113" s="254">
        <v>0</v>
      </c>
      <c r="Z113" s="971">
        <v>0</v>
      </c>
      <c r="AA113" s="254">
        <v>0</v>
      </c>
      <c r="AB113" s="971">
        <v>0</v>
      </c>
    </row>
    <row r="114" spans="2:31">
      <c r="B114" s="788"/>
      <c r="C114" s="20" t="s">
        <v>192</v>
      </c>
      <c r="D114" s="48" t="s">
        <v>193</v>
      </c>
      <c r="E114" s="16" t="s">
        <v>22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765">
        <f t="shared" si="7"/>
        <v>0</v>
      </c>
      <c r="P114" s="22"/>
      <c r="Q114" s="23"/>
      <c r="R114" s="23"/>
      <c r="S114" s="810"/>
      <c r="T114" s="254"/>
      <c r="U114" s="22"/>
      <c r="V114" s="971"/>
      <c r="W114" s="254"/>
      <c r="X114" s="971"/>
      <c r="Y114" s="254"/>
      <c r="Z114" s="971"/>
      <c r="AA114" s="254"/>
      <c r="AB114" s="971"/>
    </row>
    <row r="115" spans="2:31" ht="157.5">
      <c r="B115" s="788"/>
      <c r="C115" s="20" t="s">
        <v>194</v>
      </c>
      <c r="D115" s="48" t="s">
        <v>1363</v>
      </c>
      <c r="E115" s="16" t="s">
        <v>22</v>
      </c>
      <c r="F115" s="22">
        <v>13675.050429999996</v>
      </c>
      <c r="G115" s="22">
        <v>43303.885049999997</v>
      </c>
      <c r="H115" s="22">
        <v>14929.515769999998</v>
      </c>
      <c r="I115" s="22">
        <v>28675.175200000001</v>
      </c>
      <c r="J115" s="22">
        <v>15371.419436792001</v>
      </c>
      <c r="K115" s="22">
        <v>16786.236680000002</v>
      </c>
      <c r="L115" s="22">
        <v>15780.760602693768</v>
      </c>
      <c r="M115" s="22">
        <v>27745.5</v>
      </c>
      <c r="N115" s="22">
        <f>'Цеховые расходы'!N62</f>
        <v>19671.142328000005</v>
      </c>
      <c r="O115" s="765">
        <f t="shared" si="7"/>
        <v>3890.3817253062371</v>
      </c>
      <c r="P115" s="22">
        <v>33844.885750000001</v>
      </c>
      <c r="Q115" s="23">
        <v>13607.787896380356</v>
      </c>
      <c r="R115" s="22">
        <f>'Цеховые расходы'!O62</f>
        <v>20720.658815999999</v>
      </c>
      <c r="S115" s="768">
        <f>'Цеховые расходы'!R57</f>
        <v>12324.536199999999</v>
      </c>
      <c r="T115" s="254">
        <f>'Цеховые расходы'!T62</f>
        <v>12817.517647999999</v>
      </c>
      <c r="U115" s="22">
        <f>Q115*U3-3.95</f>
        <v>14009.34997569249</v>
      </c>
      <c r="V115" s="971">
        <f>'Цеховые расходы'!T62</f>
        <v>12817.517647999999</v>
      </c>
      <c r="W115" s="254">
        <f>'Цеховые расходы'!V62</f>
        <v>13479.730883266209</v>
      </c>
      <c r="X115" s="971">
        <f>U115*X1</f>
        <v>14340.75726011997</v>
      </c>
      <c r="Y115" s="254">
        <f>'Цеховые расходы'!X62</f>
        <v>13900.584402845127</v>
      </c>
      <c r="Z115" s="971">
        <f>X115*Z2</f>
        <v>15180.236600519735</v>
      </c>
      <c r="AA115" s="254">
        <f>'Цеховые расходы'!Z62</f>
        <v>14453.170505800312</v>
      </c>
      <c r="AB115" s="971">
        <v>0</v>
      </c>
    </row>
    <row r="116" spans="2:31">
      <c r="B116" s="787" t="s">
        <v>23</v>
      </c>
      <c r="C116" s="49" t="s">
        <v>196</v>
      </c>
      <c r="D116" s="49" t="s">
        <v>197</v>
      </c>
      <c r="E116" s="16" t="s">
        <v>22</v>
      </c>
      <c r="F116" s="17">
        <v>23682.773400000002</v>
      </c>
      <c r="G116" s="17">
        <v>20683.01800624</v>
      </c>
      <c r="H116" s="17">
        <v>61641.746717182716</v>
      </c>
      <c r="I116" s="17">
        <v>58902.364393494405</v>
      </c>
      <c r="J116" s="17">
        <v>61105.505209755327</v>
      </c>
      <c r="K116" s="17">
        <v>40798.920297600002</v>
      </c>
      <c r="L116" s="17">
        <f>L117+L119+L121</f>
        <v>62732.641884411431</v>
      </c>
      <c r="M116" s="17">
        <v>67016.764552172433</v>
      </c>
      <c r="N116" s="17">
        <f>N117+N119+N121</f>
        <v>49329.49</v>
      </c>
      <c r="O116" s="765">
        <f t="shared" si="7"/>
        <v>-13403.151884411433</v>
      </c>
      <c r="P116" s="17">
        <v>59330.007534259334</v>
      </c>
      <c r="Q116" s="18">
        <v>26554.387822668945</v>
      </c>
      <c r="R116" s="17">
        <f>R117+R119+R121</f>
        <v>38576.949919999999</v>
      </c>
      <c r="S116" s="770">
        <f>S117+S119+S121</f>
        <v>86500.633000000002</v>
      </c>
      <c r="T116" s="1101">
        <f t="shared" ref="T116:AA116" si="15">T117+T119+T121</f>
        <v>35645.544999999998</v>
      </c>
      <c r="U116" s="17">
        <f>U117+U119+U121</f>
        <v>27345.708579784477</v>
      </c>
      <c r="V116" s="970">
        <f t="shared" si="15"/>
        <v>62891.35772</v>
      </c>
      <c r="W116" s="1101">
        <f t="shared" si="15"/>
        <v>98524.648320000008</v>
      </c>
      <c r="X116" s="17">
        <f>X117+X119+X121</f>
        <v>27992.602763804149</v>
      </c>
      <c r="Y116" s="1101">
        <f t="shared" si="15"/>
        <v>104557.56752919999</v>
      </c>
      <c r="Z116" s="970">
        <f t="shared" si="15"/>
        <v>29631.233923790351</v>
      </c>
      <c r="AA116" s="1101">
        <f t="shared" si="15"/>
        <v>112127.38123978401</v>
      </c>
      <c r="AB116" s="970">
        <v>0</v>
      </c>
      <c r="AC116" s="1538">
        <f>X116/U116</f>
        <v>1.0236561500000001</v>
      </c>
    </row>
    <row r="117" spans="2:31" ht="63">
      <c r="B117" s="788"/>
      <c r="C117" s="14" t="s">
        <v>198</v>
      </c>
      <c r="D117" s="15" t="s">
        <v>199</v>
      </c>
      <c r="E117" s="16" t="s">
        <v>22</v>
      </c>
      <c r="F117" s="22">
        <v>16415.400000000001</v>
      </c>
      <c r="G117" s="22">
        <v>13450.18</v>
      </c>
      <c r="H117" s="22">
        <v>6932.66</v>
      </c>
      <c r="I117" s="22">
        <v>16812.64</v>
      </c>
      <c r="J117" s="22">
        <v>7137.8667359999999</v>
      </c>
      <c r="K117" s="22">
        <v>12046.789999999999</v>
      </c>
      <c r="L117" s="22">
        <v>7327.95</v>
      </c>
      <c r="M117" s="22">
        <v>11468.400000000001</v>
      </c>
      <c r="N117" s="22">
        <f>10609.555+5494.151</f>
        <v>16103.706</v>
      </c>
      <c r="O117" s="765">
        <f t="shared" si="7"/>
        <v>8775.7560000000012</v>
      </c>
      <c r="P117" s="22">
        <v>24237.788</v>
      </c>
      <c r="Q117" s="23">
        <v>12941.167783179997</v>
      </c>
      <c r="R117" s="22">
        <v>24096.29</v>
      </c>
      <c r="S117" s="768">
        <f>'расшифровки ВС'!M309</f>
        <v>17215.400000000001</v>
      </c>
      <c r="T117" s="254">
        <v>25055.33</v>
      </c>
      <c r="U117" s="22">
        <f>Q117*$U$3</f>
        <v>13326.814583118761</v>
      </c>
      <c r="V117" s="971">
        <f>'расшифровки ВС'!O309</f>
        <v>23956.19</v>
      </c>
      <c r="W117" s="254">
        <f>'расшифровки ВС'!Q309</f>
        <v>23901.37</v>
      </c>
      <c r="X117" s="971">
        <f>U117*X1</f>
        <v>13642.075707919208</v>
      </c>
      <c r="Y117" s="254">
        <f>'расшифровки ВС'!S309</f>
        <v>24507.51</v>
      </c>
      <c r="Z117" s="971">
        <f>X117*Z2</f>
        <v>14440.655623138544</v>
      </c>
      <c r="AA117" s="254">
        <f>'расшифровки ВС'!U309</f>
        <v>24995.1</v>
      </c>
      <c r="AB117" s="971">
        <v>0</v>
      </c>
      <c r="AC117" s="134"/>
    </row>
    <row r="118" spans="2:31" ht="63">
      <c r="B118" s="788"/>
      <c r="C118" s="14" t="s">
        <v>200</v>
      </c>
      <c r="D118" s="50" t="s">
        <v>201</v>
      </c>
      <c r="E118" s="16" t="s">
        <v>22</v>
      </c>
      <c r="F118" s="22">
        <v>16415.400000000001</v>
      </c>
      <c r="G118" s="22"/>
      <c r="H118" s="22"/>
      <c r="I118" s="22"/>
      <c r="J118" s="22"/>
      <c r="K118" s="22"/>
      <c r="L118" s="22"/>
      <c r="M118" s="22"/>
      <c r="N118" s="22"/>
      <c r="O118" s="765">
        <f t="shared" si="7"/>
        <v>0</v>
      </c>
      <c r="P118" s="22"/>
      <c r="Q118" s="23"/>
      <c r="R118" s="23"/>
      <c r="S118" s="810"/>
      <c r="T118" s="254"/>
      <c r="U118" s="22"/>
      <c r="V118" s="971"/>
      <c r="W118" s="254"/>
      <c r="X118" s="971"/>
      <c r="Y118" s="254"/>
      <c r="Z118" s="971"/>
      <c r="AA118" s="254"/>
      <c r="AB118" s="971"/>
    </row>
    <row r="119" spans="2:31" ht="63">
      <c r="B119" s="788"/>
      <c r="C119" s="14" t="s">
        <v>202</v>
      </c>
      <c r="D119" s="15" t="s">
        <v>203</v>
      </c>
      <c r="E119" s="16" t="s">
        <v>22</v>
      </c>
      <c r="F119" s="22">
        <v>0</v>
      </c>
      <c r="G119" s="22">
        <v>0</v>
      </c>
      <c r="H119" s="22">
        <v>46957.13</v>
      </c>
      <c r="I119" s="22">
        <v>34733.160000000003</v>
      </c>
      <c r="J119" s="22">
        <v>45986.13</v>
      </c>
      <c r="K119" s="22">
        <v>21804.1</v>
      </c>
      <c r="L119" s="22">
        <v>47210.74</v>
      </c>
      <c r="M119" s="22">
        <v>47210.74</v>
      </c>
      <c r="N119" s="22">
        <f>15825.133+8087.78</f>
        <v>23912.913</v>
      </c>
      <c r="O119" s="765">
        <f t="shared" si="7"/>
        <v>-23297.826999999997</v>
      </c>
      <c r="P119" s="22">
        <v>26421.09</v>
      </c>
      <c r="Q119" s="51">
        <v>4297.7700000000004</v>
      </c>
      <c r="R119" s="51">
        <v>4297.7700000000004</v>
      </c>
      <c r="S119" s="819">
        <f>16919.423+41048.411</f>
        <v>57967.834000000003</v>
      </c>
      <c r="T119" s="254">
        <v>0</v>
      </c>
      <c r="U119" s="22">
        <f>Q119*U3</f>
        <v>4425.843546000001</v>
      </c>
      <c r="V119" s="995">
        <f>'расшифровки ВС'!O317</f>
        <v>27315</v>
      </c>
      <c r="W119" s="254">
        <f>'расшифровки ВС'!Q317</f>
        <v>62286.62</v>
      </c>
      <c r="X119" s="971">
        <f>U119*X1</f>
        <v>4530.5419648007091</v>
      </c>
      <c r="Y119" s="254">
        <f>'расшифровки ВС'!S317</f>
        <v>68515.282000000007</v>
      </c>
      <c r="Z119" s="971">
        <f>X119*Z2</f>
        <v>4795.7508593714929</v>
      </c>
      <c r="AA119" s="254">
        <f>'расшифровки ВС'!U317</f>
        <v>75366.810200000007</v>
      </c>
      <c r="AB119" s="971">
        <v>0</v>
      </c>
    </row>
    <row r="120" spans="2:31" ht="73.5">
      <c r="B120" s="788"/>
      <c r="C120" s="14" t="s">
        <v>204</v>
      </c>
      <c r="D120" s="50" t="s">
        <v>1304</v>
      </c>
      <c r="E120" s="16" t="s">
        <v>22</v>
      </c>
      <c r="F120" s="22">
        <v>28063.86</v>
      </c>
      <c r="G120" s="22">
        <v>48000.55</v>
      </c>
      <c r="H120" s="22"/>
      <c r="I120" s="22"/>
      <c r="J120" s="22"/>
      <c r="K120" s="22"/>
      <c r="L120" s="22"/>
      <c r="M120" s="22"/>
      <c r="N120" s="22"/>
      <c r="O120" s="765">
        <f t="shared" si="7"/>
        <v>0</v>
      </c>
      <c r="P120" s="22">
        <v>130741.3</v>
      </c>
      <c r="Q120" s="23">
        <v>0</v>
      </c>
      <c r="R120" s="23">
        <f>N119</f>
        <v>23912.913</v>
      </c>
      <c r="S120" s="810"/>
      <c r="T120" s="254">
        <f>'расшифровки ВС'!O319</f>
        <v>113351.01</v>
      </c>
      <c r="U120" s="22">
        <v>0</v>
      </c>
      <c r="V120" s="971"/>
      <c r="W120" s="254">
        <f>'расшифровки ВС'!Q319</f>
        <v>102428</v>
      </c>
      <c r="X120" s="971">
        <v>0</v>
      </c>
      <c r="Y120" s="254">
        <f>'расшифровки ВС'!S319</f>
        <v>140121.85999999999</v>
      </c>
      <c r="Z120" s="971">
        <v>0</v>
      </c>
      <c r="AA120" s="254">
        <f>'расшифровки ВС'!U319</f>
        <v>145553.16999999998</v>
      </c>
      <c r="AB120" s="971"/>
    </row>
    <row r="121" spans="2:31" ht="52.5">
      <c r="B121" s="788"/>
      <c r="C121" s="14" t="s">
        <v>206</v>
      </c>
      <c r="D121" s="15" t="s">
        <v>207</v>
      </c>
      <c r="E121" s="16" t="s">
        <v>22</v>
      </c>
      <c r="F121" s="17">
        <v>7267.3733999999995</v>
      </c>
      <c r="G121" s="17">
        <v>7232.8380062399992</v>
      </c>
      <c r="H121" s="17">
        <v>7751.9567171827202</v>
      </c>
      <c r="I121" s="17">
        <v>7356.5643934944001</v>
      </c>
      <c r="J121" s="17">
        <v>7981.5084737553279</v>
      </c>
      <c r="K121" s="17">
        <v>6948.0302976000003</v>
      </c>
      <c r="L121" s="17">
        <v>8193.9518844114336</v>
      </c>
      <c r="M121" s="17">
        <v>8337.6245521724395</v>
      </c>
      <c r="N121" s="17">
        <f>N122+N133</f>
        <v>9312.8709999999992</v>
      </c>
      <c r="O121" s="765">
        <f t="shared" si="7"/>
        <v>1118.9191155885655</v>
      </c>
      <c r="P121" s="17">
        <v>8671.1295342593367</v>
      </c>
      <c r="Q121" s="18">
        <v>9315.4500394889474</v>
      </c>
      <c r="R121" s="17">
        <f>R122+R133</f>
        <v>10182.88992</v>
      </c>
      <c r="S121" s="770">
        <f>S122+S133</f>
        <v>11317.399000000001</v>
      </c>
      <c r="T121" s="1101">
        <f t="shared" ref="T121:AA121" si="16">T122+T133</f>
        <v>10590.215</v>
      </c>
      <c r="U121" s="17">
        <f t="shared" si="16"/>
        <v>9593.0504506657162</v>
      </c>
      <c r="V121" s="970">
        <f t="shared" si="16"/>
        <v>11620.167720000001</v>
      </c>
      <c r="W121" s="1101">
        <f t="shared" si="16"/>
        <v>12336.658319999999</v>
      </c>
      <c r="X121" s="17">
        <f t="shared" si="16"/>
        <v>9819.9850910842324</v>
      </c>
      <c r="Y121" s="1101">
        <f t="shared" si="16"/>
        <v>11534.7755292</v>
      </c>
      <c r="Z121" s="17">
        <f t="shared" si="16"/>
        <v>10394.827441280317</v>
      </c>
      <c r="AA121" s="1101">
        <f t="shared" si="16"/>
        <v>11765.471039783999</v>
      </c>
      <c r="AB121" s="970">
        <v>0</v>
      </c>
      <c r="AE121" s="134"/>
    </row>
    <row r="122" spans="2:31" ht="21">
      <c r="B122" s="788"/>
      <c r="C122" s="14" t="s">
        <v>208</v>
      </c>
      <c r="D122" s="48" t="s">
        <v>209</v>
      </c>
      <c r="E122" s="16" t="s">
        <v>22</v>
      </c>
      <c r="F122" s="22">
        <v>5581.7</v>
      </c>
      <c r="G122" s="22">
        <v>5555.1751199999999</v>
      </c>
      <c r="H122" s="22">
        <v>5953.88380736</v>
      </c>
      <c r="I122" s="22">
        <v>5650.2030672000001</v>
      </c>
      <c r="J122" s="22">
        <v>6130.1908400578559</v>
      </c>
      <c r="K122" s="22">
        <v>5336.4288000000006</v>
      </c>
      <c r="L122" s="22">
        <v>6293.357822128597</v>
      </c>
      <c r="M122" s="22">
        <v>6403.7054932199999</v>
      </c>
      <c r="N122" s="22">
        <v>7139.8580000000002</v>
      </c>
      <c r="O122" s="765">
        <f t="shared" si="7"/>
        <v>846.50017787140314</v>
      </c>
      <c r="P122" s="22">
        <v>6659.8537129487995</v>
      </c>
      <c r="Q122" s="23">
        <v>7154.7235326335995</v>
      </c>
      <c r="R122" s="22">
        <v>7820.96</v>
      </c>
      <c r="S122" s="768">
        <f>7693.97+956.022</f>
        <v>8649.9920000000002</v>
      </c>
      <c r="T122" s="254">
        <v>8133.8059999999996</v>
      </c>
      <c r="U122" s="22">
        <f>U123*U124*12/1000</f>
        <v>7367.9342939060798</v>
      </c>
      <c r="V122" s="971">
        <v>8924.86</v>
      </c>
      <c r="W122" s="254">
        <v>9475.16</v>
      </c>
      <c r="X122" s="971">
        <f>U122*X1</f>
        <v>7542.2312527528666</v>
      </c>
      <c r="Y122" s="254">
        <f>Y123*Y124*12/1000</f>
        <v>8859.2746000000006</v>
      </c>
      <c r="Z122" s="971">
        <f>X122*Z2</f>
        <v>7983.7384341630695</v>
      </c>
      <c r="AA122" s="254">
        <f>AA123*12*AA124/1000</f>
        <v>9036.4600919999993</v>
      </c>
      <c r="AB122" s="971">
        <v>0</v>
      </c>
    </row>
    <row r="123" spans="2:31" ht="31.5">
      <c r="B123" s="788"/>
      <c r="C123" s="33" t="s">
        <v>210</v>
      </c>
      <c r="D123" s="39" t="s">
        <v>149</v>
      </c>
      <c r="E123" s="16" t="s">
        <v>31</v>
      </c>
      <c r="F123" s="22">
        <v>21</v>
      </c>
      <c r="G123" s="22">
        <v>21</v>
      </c>
      <c r="H123" s="22">
        <v>20.977</v>
      </c>
      <c r="I123" s="22">
        <v>18.54</v>
      </c>
      <c r="J123" s="22">
        <v>20.977</v>
      </c>
      <c r="K123" s="22">
        <v>18</v>
      </c>
      <c r="L123" s="22">
        <v>20.977</v>
      </c>
      <c r="M123" s="22">
        <v>20.6831</v>
      </c>
      <c r="N123" s="22">
        <v>20.46</v>
      </c>
      <c r="O123" s="765">
        <f t="shared" si="7"/>
        <v>-0.51699999999999946</v>
      </c>
      <c r="P123" s="22">
        <v>20.6831</v>
      </c>
      <c r="Q123" s="23">
        <v>20.68</v>
      </c>
      <c r="R123" s="22">
        <v>21.5</v>
      </c>
      <c r="S123" s="768">
        <v>23.8</v>
      </c>
      <c r="T123" s="254">
        <v>21.5</v>
      </c>
      <c r="U123" s="22">
        <f>Q123</f>
        <v>20.68</v>
      </c>
      <c r="V123" s="971">
        <v>23.5</v>
      </c>
      <c r="W123" s="254">
        <v>24</v>
      </c>
      <c r="X123" s="971">
        <v>20.68</v>
      </c>
      <c r="Y123" s="254">
        <v>22</v>
      </c>
      <c r="Z123" s="971">
        <v>20.68</v>
      </c>
      <c r="AA123" s="254">
        <v>22</v>
      </c>
      <c r="AB123" s="971">
        <v>0</v>
      </c>
    </row>
    <row r="124" spans="2:31" ht="31.5">
      <c r="B124" s="788"/>
      <c r="C124" s="33" t="s">
        <v>211</v>
      </c>
      <c r="D124" s="29" t="s">
        <v>212</v>
      </c>
      <c r="E124" s="16" t="s">
        <v>152</v>
      </c>
      <c r="F124" s="17">
        <v>22149.603174603169</v>
      </c>
      <c r="G124" s="17">
        <v>22044.345714285719</v>
      </c>
      <c r="H124" s="17">
        <v>23652.428085363335</v>
      </c>
      <c r="I124" s="17">
        <v>25396.453915857608</v>
      </c>
      <c r="J124" s="17">
        <v>24352.826270271631</v>
      </c>
      <c r="K124" s="17">
        <v>24705.688888888893</v>
      </c>
      <c r="L124" s="17">
        <v>25001.024225455647</v>
      </c>
      <c r="M124" s="17">
        <v>25800.877258969889</v>
      </c>
      <c r="N124" s="17">
        <f>N122/N123/12*1000</f>
        <v>29080.555555555551</v>
      </c>
      <c r="O124" s="765">
        <f t="shared" si="7"/>
        <v>4079.5313300999042</v>
      </c>
      <c r="P124" s="17">
        <v>26832.912349328675</v>
      </c>
      <c r="Q124" s="18">
        <v>28831.090959999998</v>
      </c>
      <c r="R124" s="17">
        <f>R122/R123/12*1000</f>
        <v>30313.798449612401</v>
      </c>
      <c r="S124" s="770">
        <f>S122/S123/12*1000</f>
        <v>30287.086834733895</v>
      </c>
      <c r="T124" s="1101">
        <f>T122/12/21.5*1000</f>
        <v>31526.379844961237</v>
      </c>
      <c r="U124" s="17">
        <f>Q124*U3</f>
        <v>29690.257470607998</v>
      </c>
      <c r="V124" s="970">
        <f>V121/V123/12*1000</f>
        <v>41206.2685106383</v>
      </c>
      <c r="W124" s="1101">
        <f>W122/W123/12*1000</f>
        <v>32899.861111111117</v>
      </c>
      <c r="X124" s="970">
        <f>X122/X123/12*1000</f>
        <v>30392.614654871319</v>
      </c>
      <c r="Y124" s="1101">
        <f>W124*1.02</f>
        <v>33557.858333333337</v>
      </c>
      <c r="Z124" s="970">
        <f>Z122/Z123/12*1000</f>
        <v>32171.737726317977</v>
      </c>
      <c r="AA124" s="1101">
        <f>Y124*1.02</f>
        <v>34229.015500000001</v>
      </c>
      <c r="AB124" s="970">
        <v>0</v>
      </c>
    </row>
    <row r="125" spans="2:31" ht="52.5">
      <c r="B125" s="788"/>
      <c r="C125" s="33" t="s">
        <v>213</v>
      </c>
      <c r="D125" s="29" t="s">
        <v>214</v>
      </c>
      <c r="E125" s="16" t="s">
        <v>31</v>
      </c>
      <c r="F125" s="22">
        <v>21</v>
      </c>
      <c r="G125" s="22">
        <v>21</v>
      </c>
      <c r="H125" s="22">
        <v>20.977</v>
      </c>
      <c r="I125" s="22">
        <v>18.54</v>
      </c>
      <c r="J125" s="22">
        <v>20.977</v>
      </c>
      <c r="K125" s="22">
        <v>18</v>
      </c>
      <c r="L125" s="22">
        <v>20.977</v>
      </c>
      <c r="M125" s="22">
        <v>20.6831</v>
      </c>
      <c r="N125" s="22">
        <v>20.46</v>
      </c>
      <c r="O125" s="765">
        <f t="shared" si="7"/>
        <v>-0.51699999999999946</v>
      </c>
      <c r="P125" s="22">
        <v>20.6831</v>
      </c>
      <c r="Q125" s="23">
        <v>0</v>
      </c>
      <c r="R125" s="22"/>
      <c r="S125" s="768"/>
      <c r="T125" s="254">
        <v>20.6831</v>
      </c>
      <c r="U125" s="22">
        <v>0</v>
      </c>
      <c r="V125" s="971">
        <v>23.5</v>
      </c>
      <c r="W125" s="254">
        <v>24</v>
      </c>
      <c r="X125" s="971">
        <v>20.68</v>
      </c>
      <c r="Y125" s="254">
        <v>20.6831</v>
      </c>
      <c r="Z125" s="971">
        <v>0</v>
      </c>
      <c r="AA125" s="254">
        <v>20.6831</v>
      </c>
      <c r="AB125" s="971">
        <v>0</v>
      </c>
    </row>
    <row r="126" spans="2:31" ht="52.5" hidden="1">
      <c r="B126" s="788"/>
      <c r="C126" s="33" t="s">
        <v>215</v>
      </c>
      <c r="D126" s="29" t="s">
        <v>216</v>
      </c>
      <c r="E126" s="16" t="s">
        <v>31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765">
        <f t="shared" si="7"/>
        <v>0</v>
      </c>
      <c r="P126" s="22"/>
      <c r="Q126" s="23"/>
      <c r="R126" s="22"/>
      <c r="S126" s="768"/>
      <c r="T126" s="254"/>
      <c r="U126" s="22"/>
      <c r="V126" s="971"/>
      <c r="W126" s="254"/>
      <c r="X126" s="971"/>
      <c r="Y126" s="254"/>
      <c r="Z126" s="971"/>
      <c r="AA126" s="254"/>
      <c r="AB126" s="971"/>
    </row>
    <row r="127" spans="2:31" ht="21" hidden="1">
      <c r="B127" s="788"/>
      <c r="C127" s="33" t="s">
        <v>217</v>
      </c>
      <c r="D127" s="29" t="s">
        <v>158</v>
      </c>
      <c r="E127" s="16" t="s">
        <v>152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765">
        <f t="shared" si="7"/>
        <v>0</v>
      </c>
      <c r="P127" s="22"/>
      <c r="Q127" s="23"/>
      <c r="R127" s="22"/>
      <c r="S127" s="768"/>
      <c r="T127" s="254"/>
      <c r="U127" s="22"/>
      <c r="V127" s="971"/>
      <c r="W127" s="254"/>
      <c r="X127" s="971"/>
      <c r="Y127" s="254"/>
      <c r="Z127" s="971"/>
      <c r="AA127" s="254"/>
      <c r="AB127" s="971"/>
    </row>
    <row r="128" spans="2:31" ht="31.5" hidden="1">
      <c r="B128" s="788"/>
      <c r="C128" s="33" t="s">
        <v>218</v>
      </c>
      <c r="D128" s="39" t="s">
        <v>160</v>
      </c>
      <c r="E128" s="16"/>
      <c r="F128" s="22"/>
      <c r="G128" s="22"/>
      <c r="H128" s="22"/>
      <c r="I128" s="22"/>
      <c r="J128" s="22"/>
      <c r="K128" s="22"/>
      <c r="L128" s="22"/>
      <c r="M128" s="22"/>
      <c r="N128" s="22"/>
      <c r="O128" s="765">
        <f t="shared" si="7"/>
        <v>0</v>
      </c>
      <c r="P128" s="22"/>
      <c r="Q128" s="23"/>
      <c r="R128" s="22"/>
      <c r="S128" s="768"/>
      <c r="T128" s="254"/>
      <c r="U128" s="22"/>
      <c r="V128" s="971"/>
      <c r="W128" s="254"/>
      <c r="X128" s="971"/>
      <c r="Y128" s="254"/>
      <c r="Z128" s="971"/>
      <c r="AA128" s="254"/>
      <c r="AB128" s="971"/>
    </row>
    <row r="129" spans="2:31" ht="31.5" hidden="1">
      <c r="B129" s="788"/>
      <c r="C129" s="33" t="s">
        <v>219</v>
      </c>
      <c r="D129" s="29" t="s">
        <v>162</v>
      </c>
      <c r="E129" s="16" t="s">
        <v>152</v>
      </c>
      <c r="F129" s="22">
        <v>7479</v>
      </c>
      <c r="G129" s="22">
        <v>7479</v>
      </c>
      <c r="H129" s="22">
        <v>7893</v>
      </c>
      <c r="I129" s="22">
        <v>7893</v>
      </c>
      <c r="J129" s="22">
        <v>8288</v>
      </c>
      <c r="K129" s="22">
        <v>8288</v>
      </c>
      <c r="L129" s="22">
        <v>8702</v>
      </c>
      <c r="M129" s="22">
        <v>8702</v>
      </c>
      <c r="N129" s="22">
        <v>8702</v>
      </c>
      <c r="O129" s="765">
        <f t="shared" si="7"/>
        <v>0</v>
      </c>
      <c r="P129" s="22">
        <v>9050.08</v>
      </c>
      <c r="Q129" s="23"/>
      <c r="R129" s="22"/>
      <c r="S129" s="768"/>
      <c r="T129" s="254">
        <v>9460.8799999999992</v>
      </c>
      <c r="U129" s="22"/>
      <c r="V129" s="971">
        <v>9460</v>
      </c>
      <c r="W129" s="254">
        <v>9839.44</v>
      </c>
      <c r="X129" s="971"/>
      <c r="Y129" s="254">
        <v>10180.109189120001</v>
      </c>
      <c r="Z129" s="971"/>
      <c r="AA129" s="254">
        <v>10220.829625876482</v>
      </c>
      <c r="AB129" s="971"/>
    </row>
    <row r="130" spans="2:31" ht="21" hidden="1">
      <c r="B130" s="788"/>
      <c r="C130" s="33" t="s">
        <v>220</v>
      </c>
      <c r="D130" s="39" t="s">
        <v>164</v>
      </c>
      <c r="E130" s="16"/>
      <c r="F130" s="22"/>
      <c r="G130" s="22"/>
      <c r="H130" s="22"/>
      <c r="I130" s="22"/>
      <c r="J130" s="22"/>
      <c r="K130" s="22"/>
      <c r="L130" s="22"/>
      <c r="M130" s="22"/>
      <c r="N130" s="22"/>
      <c r="O130" s="765">
        <f t="shared" si="7"/>
        <v>0</v>
      </c>
      <c r="P130" s="22"/>
      <c r="Q130" s="23"/>
      <c r="R130" s="22"/>
      <c r="S130" s="768"/>
      <c r="T130" s="254"/>
      <c r="U130" s="22"/>
      <c r="V130" s="971"/>
      <c r="W130" s="254"/>
      <c r="X130" s="971"/>
      <c r="Y130" s="254"/>
      <c r="Z130" s="971"/>
      <c r="AA130" s="254"/>
      <c r="AB130" s="971"/>
    </row>
    <row r="131" spans="2:31" ht="21" hidden="1">
      <c r="B131" s="788"/>
      <c r="C131" s="33" t="s">
        <v>221</v>
      </c>
      <c r="D131" s="39" t="s">
        <v>166</v>
      </c>
      <c r="E131" s="16" t="s">
        <v>152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765">
        <f t="shared" si="7"/>
        <v>0</v>
      </c>
      <c r="P131" s="22"/>
      <c r="Q131" s="23"/>
      <c r="R131" s="22"/>
      <c r="S131" s="768"/>
      <c r="T131" s="254"/>
      <c r="U131" s="22"/>
      <c r="V131" s="971"/>
      <c r="W131" s="254"/>
      <c r="X131" s="971"/>
      <c r="Y131" s="254"/>
      <c r="Z131" s="971"/>
      <c r="AA131" s="254"/>
      <c r="AB131" s="971"/>
    </row>
    <row r="132" spans="2:31" ht="42" hidden="1">
      <c r="B132" s="788"/>
      <c r="C132" s="33" t="s">
        <v>222</v>
      </c>
      <c r="D132" s="39" t="s">
        <v>168</v>
      </c>
      <c r="E132" s="16" t="s">
        <v>152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765">
        <f t="shared" si="7"/>
        <v>0</v>
      </c>
      <c r="P132" s="22"/>
      <c r="Q132" s="23"/>
      <c r="R132" s="22"/>
      <c r="S132" s="768"/>
      <c r="T132" s="254"/>
      <c r="U132" s="22"/>
      <c r="V132" s="971"/>
      <c r="W132" s="254"/>
      <c r="X132" s="971"/>
      <c r="Y132" s="254"/>
      <c r="Z132" s="971"/>
      <c r="AA132" s="254"/>
      <c r="AB132" s="971"/>
    </row>
    <row r="133" spans="2:31" ht="42">
      <c r="B133" s="788"/>
      <c r="C133" s="14" t="s">
        <v>223</v>
      </c>
      <c r="D133" s="40" t="s">
        <v>224</v>
      </c>
      <c r="E133" s="16" t="s">
        <v>22</v>
      </c>
      <c r="F133" s="22">
        <v>1685.6733999999999</v>
      </c>
      <c r="G133" s="22">
        <v>1677.6628862399998</v>
      </c>
      <c r="H133" s="22">
        <v>1798.07290982272</v>
      </c>
      <c r="I133" s="22">
        <v>1706.3613262944</v>
      </c>
      <c r="J133" s="22">
        <v>1851.3176336974725</v>
      </c>
      <c r="K133" s="22">
        <v>1611.6014976000001</v>
      </c>
      <c r="L133" s="22">
        <v>1900.5940622828361</v>
      </c>
      <c r="M133" s="22">
        <v>1933.9190589524399</v>
      </c>
      <c r="N133" s="22">
        <f>252.296+1920.717</f>
        <v>2173.0129999999999</v>
      </c>
      <c r="O133" s="765">
        <f t="shared" si="7"/>
        <v>272.41893771716377</v>
      </c>
      <c r="P133" s="22">
        <v>2011.2758213105374</v>
      </c>
      <c r="Q133" s="23">
        <v>2160.726506855347</v>
      </c>
      <c r="R133" s="22">
        <f>R122*0.302</f>
        <v>2361.92992</v>
      </c>
      <c r="S133" s="768">
        <f>300.585+2366.822</f>
        <v>2667.4070000000002</v>
      </c>
      <c r="T133" s="254">
        <v>2456.4090000000001</v>
      </c>
      <c r="U133" s="22">
        <f>U122*0.302</f>
        <v>2225.1161567596359</v>
      </c>
      <c r="V133" s="971">
        <f>V122*0.302</f>
        <v>2695.3077200000002</v>
      </c>
      <c r="W133" s="254">
        <f>W122*0.302</f>
        <v>2861.4983199999997</v>
      </c>
      <c r="X133" s="22">
        <f>X122*0.302</f>
        <v>2277.7538383313658</v>
      </c>
      <c r="Y133" s="254">
        <f>Y122*0.302</f>
        <v>2675.5009292</v>
      </c>
      <c r="Z133" s="971">
        <f>X133*Z2</f>
        <v>2411.0890071172471</v>
      </c>
      <c r="AA133" s="254">
        <f>AA122*0.302</f>
        <v>2729.0109477839997</v>
      </c>
      <c r="AB133" s="971">
        <v>0</v>
      </c>
      <c r="AE133" s="134">
        <f>S156+S101</f>
        <v>76663.462</v>
      </c>
    </row>
    <row r="134" spans="2:31" ht="21">
      <c r="B134" s="787" t="s">
        <v>23</v>
      </c>
      <c r="C134" s="49">
        <v>3</v>
      </c>
      <c r="D134" s="49" t="s">
        <v>225</v>
      </c>
      <c r="E134" s="16" t="s">
        <v>22</v>
      </c>
      <c r="F134" s="17">
        <v>42547.99168376223</v>
      </c>
      <c r="G134" s="17">
        <v>44797.900620419998</v>
      </c>
      <c r="H134" s="17">
        <v>45839.659847183997</v>
      </c>
      <c r="I134" s="17">
        <v>51335.329578400022</v>
      </c>
      <c r="J134" s="17">
        <v>47741.401377916663</v>
      </c>
      <c r="K134" s="17">
        <v>39917.700804848006</v>
      </c>
      <c r="L134" s="17">
        <f>L135+L144++L157+L158+L159++L160+L161+L162+L163+L164+L165+L166</f>
        <v>48453.372492571783</v>
      </c>
      <c r="M134" s="17">
        <v>41638.04409577512</v>
      </c>
      <c r="N134" s="17">
        <f>N135+N144++N157+N158+N159++N160+N161+N162+N163+N164+N165+N166+0.07</f>
        <v>46967.034413700007</v>
      </c>
      <c r="O134" s="765">
        <f t="shared" si="7"/>
        <v>-1486.3380788717768</v>
      </c>
      <c r="P134" s="17">
        <v>42899.539656963745</v>
      </c>
      <c r="Q134" s="18">
        <v>39863.047404317047</v>
      </c>
      <c r="R134" s="17">
        <f>R135+R144+R157+R158+R159+R160+R161+R162+R163+R164+R165+R166</f>
        <v>39863.047340000005</v>
      </c>
      <c r="S134" s="770">
        <f>S135+S144+S157+S158+S159+S160+S161+S162+S163+S164+S165+S166</f>
        <v>62509.304000000011</v>
      </c>
      <c r="T134" s="1101">
        <f>T135+T144+T157+T158+T159++T160+T161+T162+T163+T164+T165+T166-0.5</f>
        <v>62345.670911199995</v>
      </c>
      <c r="U134" s="17">
        <f t="shared" ref="U134:AA134" si="17">U135+U144+U157+U158+U159++U160+U161+U162+U163+U164+U165+U166</f>
        <v>41050.966216965673</v>
      </c>
      <c r="V134" s="970">
        <f t="shared" si="17"/>
        <v>65619.483329999988</v>
      </c>
      <c r="W134" s="1101">
        <f t="shared" si="17"/>
        <v>68233.5034725</v>
      </c>
      <c r="X134" s="970">
        <f t="shared" si="17"/>
        <v>42022.074031439151</v>
      </c>
      <c r="Y134" s="1101">
        <f t="shared" si="17"/>
        <v>69942.586172992</v>
      </c>
      <c r="Z134" s="970">
        <f t="shared" si="17"/>
        <v>44481.962470402083</v>
      </c>
      <c r="AA134" s="1101">
        <f t="shared" si="17"/>
        <v>71704.638655842893</v>
      </c>
      <c r="AB134" s="970">
        <v>0</v>
      </c>
      <c r="AC134" s="1540">
        <f>X134/U134</f>
        <v>1.0236561500000001</v>
      </c>
    </row>
    <row r="135" spans="2:31" ht="31.5">
      <c r="B135" s="788"/>
      <c r="C135" s="14" t="s">
        <v>226</v>
      </c>
      <c r="D135" s="15" t="s">
        <v>227</v>
      </c>
      <c r="E135" s="16" t="s">
        <v>22</v>
      </c>
      <c r="F135" s="17">
        <v>3810.7105399999991</v>
      </c>
      <c r="G135" s="17">
        <v>4217.8552499999996</v>
      </c>
      <c r="H135" s="17">
        <v>4465.71</v>
      </c>
      <c r="I135" s="17">
        <v>4648.4620000000004</v>
      </c>
      <c r="J135" s="17">
        <v>4597.9065475200005</v>
      </c>
      <c r="K135" s="17">
        <v>3553.6651200000001</v>
      </c>
      <c r="L135" s="17">
        <v>4720.3373513728302</v>
      </c>
      <c r="M135" s="17">
        <v>3219.6327686816635</v>
      </c>
      <c r="N135" s="17">
        <f>SUM(N136:N143)</f>
        <v>4532.5308267</v>
      </c>
      <c r="O135" s="765">
        <f t="shared" si="7"/>
        <v>-187.80652467283016</v>
      </c>
      <c r="P135" s="17">
        <v>3348.4180794289305</v>
      </c>
      <c r="Q135" s="17">
        <f t="shared" ref="Q135:Z135" si="18">SUM(Q136:Q143)</f>
        <v>2108.5015593407998</v>
      </c>
      <c r="R135" s="17">
        <f t="shared" si="18"/>
        <v>2108.6999999999998</v>
      </c>
      <c r="S135" s="770">
        <f t="shared" si="18"/>
        <v>6609.9039999999995</v>
      </c>
      <c r="T135" s="1101">
        <f t="shared" si="18"/>
        <v>4996.0600000000004</v>
      </c>
      <c r="U135" s="17">
        <f t="shared" si="18"/>
        <v>2171.3349058091558</v>
      </c>
      <c r="V135" s="970">
        <f t="shared" si="18"/>
        <v>6808.2011199999997</v>
      </c>
      <c r="W135" s="1101">
        <f t="shared" si="18"/>
        <v>7146.5449136000007</v>
      </c>
      <c r="X135" s="1101">
        <f t="shared" si="18"/>
        <v>2222.700330041213</v>
      </c>
      <c r="Y135" s="1101">
        <f>SUM(Y136:Y143)</f>
        <v>7505.024033824001</v>
      </c>
      <c r="Z135" s="1101">
        <f t="shared" si="18"/>
        <v>2352.8127762059794</v>
      </c>
      <c r="AA135" s="1101">
        <f>SUM(AA136:AA143)</f>
        <v>7885.104051224961</v>
      </c>
      <c r="AB135" s="970">
        <v>0</v>
      </c>
      <c r="AD135" s="134"/>
    </row>
    <row r="136" spans="2:31">
      <c r="B136" s="788"/>
      <c r="C136" s="14" t="s">
        <v>228</v>
      </c>
      <c r="D136" s="48" t="s">
        <v>229</v>
      </c>
      <c r="E136" s="16" t="s">
        <v>22</v>
      </c>
      <c r="F136" s="22">
        <v>849.00399999999991</v>
      </c>
      <c r="G136" s="22">
        <v>350.94041999999996</v>
      </c>
      <c r="H136" s="22">
        <v>1036.27</v>
      </c>
      <c r="I136" s="22">
        <v>1138.7040000000002</v>
      </c>
      <c r="J136" s="22">
        <v>1066.9435920000001</v>
      </c>
      <c r="K136" s="22">
        <v>828.98399999999992</v>
      </c>
      <c r="L136" s="22">
        <v>1095.3493552450705</v>
      </c>
      <c r="M136" s="22">
        <v>943.48799999999994</v>
      </c>
      <c r="N136" s="22">
        <f>'Админ. расх.'!AF7</f>
        <v>2104.4633250000002</v>
      </c>
      <c r="O136" s="765">
        <f t="shared" si="7"/>
        <v>1009.1139697549297</v>
      </c>
      <c r="P136" s="22">
        <v>981.22751999999991</v>
      </c>
      <c r="Q136" s="23">
        <v>890.52943012799994</v>
      </c>
      <c r="R136" s="22">
        <f>'Админ. расх.'!AI7</f>
        <v>890.72500000000002</v>
      </c>
      <c r="S136" s="768">
        <f>10.959+259.329+161.306+7.261+629.361</f>
        <v>1068.2160000000001</v>
      </c>
      <c r="T136" s="254">
        <v>2319.6799999999998</v>
      </c>
      <c r="U136" s="22">
        <f>Q136*$U$3</f>
        <v>917.06720714581434</v>
      </c>
      <c r="V136" s="971">
        <f>S136*1.03</f>
        <v>1100.2624800000001</v>
      </c>
      <c r="W136" s="254">
        <f>V136*1.1</f>
        <v>1210.2887280000002</v>
      </c>
      <c r="X136" s="971">
        <f>U136*$X$1</f>
        <v>938.76148655813688</v>
      </c>
      <c r="Y136" s="254">
        <f>W136*1.1</f>
        <v>1331.3176008000003</v>
      </c>
      <c r="Z136" s="971">
        <f>X136*$Z$2</f>
        <v>993.71471247459976</v>
      </c>
      <c r="AA136" s="254">
        <f>Y136*1.1</f>
        <v>1464.4493608800003</v>
      </c>
      <c r="AB136" s="971"/>
    </row>
    <row r="137" spans="2:31" s="57" customFormat="1">
      <c r="B137" s="791"/>
      <c r="C137" s="53" t="s">
        <v>230</v>
      </c>
      <c r="D137" s="54" t="s">
        <v>231</v>
      </c>
      <c r="E137" s="55" t="s">
        <v>22</v>
      </c>
      <c r="F137" s="56">
        <v>1002.1399999999999</v>
      </c>
      <c r="G137" s="56">
        <v>1661.7845799999998</v>
      </c>
      <c r="H137" s="56">
        <v>253.07</v>
      </c>
      <c r="I137" s="56">
        <v>15.696800000000001</v>
      </c>
      <c r="J137" s="56">
        <v>260.56087200000002</v>
      </c>
      <c r="K137" s="56">
        <v>6.5759999999999996</v>
      </c>
      <c r="L137" s="56">
        <v>267.49802249398795</v>
      </c>
      <c r="M137" s="56">
        <v>228.06225718847998</v>
      </c>
      <c r="N137" s="56">
        <f>'Админ. расх.'!AF8</f>
        <v>18.391608000000002</v>
      </c>
      <c r="O137" s="765">
        <f t="shared" si="7"/>
        <v>-249.10641449398796</v>
      </c>
      <c r="P137" s="56">
        <v>237.1847474760192</v>
      </c>
      <c r="Q137" s="23">
        <v>0</v>
      </c>
      <c r="R137" s="22">
        <f>'Админ. расх.'!AI8</f>
        <v>0</v>
      </c>
      <c r="S137" s="768">
        <v>19.239999999999998</v>
      </c>
      <c r="T137" s="254">
        <v>20.27</v>
      </c>
      <c r="U137" s="22">
        <f t="shared" ref="U137:U143" si="19">Q137*$U$3</f>
        <v>0</v>
      </c>
      <c r="V137" s="971">
        <f t="shared" ref="V137:V143" si="20">S137*1.03</f>
        <v>19.8172</v>
      </c>
      <c r="W137" s="254">
        <f>V137*1.04</f>
        <v>20.609888000000002</v>
      </c>
      <c r="X137" s="971">
        <f t="shared" ref="X137:X143" si="21">U137*$X$1</f>
        <v>0</v>
      </c>
      <c r="Y137" s="254">
        <f>W137*1.04</f>
        <v>21.434283520000001</v>
      </c>
      <c r="Z137" s="971">
        <f t="shared" ref="Z137:Z143" si="22">X137*$Z$2</f>
        <v>0</v>
      </c>
      <c r="AA137" s="254">
        <f>Y137*1.04</f>
        <v>22.291654860800001</v>
      </c>
      <c r="AB137" s="1120"/>
    </row>
    <row r="138" spans="2:31" hidden="1">
      <c r="B138" s="788"/>
      <c r="C138" s="14" t="s">
        <v>232</v>
      </c>
      <c r="D138" s="48" t="s">
        <v>233</v>
      </c>
      <c r="E138" s="16" t="s">
        <v>22</v>
      </c>
      <c r="F138" s="22">
        <v>675.59999999999991</v>
      </c>
      <c r="G138" s="22">
        <v>703.74999999999989</v>
      </c>
      <c r="H138" s="22">
        <v>852.02</v>
      </c>
      <c r="I138" s="22">
        <v>756.00000000000011</v>
      </c>
      <c r="J138" s="22">
        <v>877.23979200000008</v>
      </c>
      <c r="K138" s="22">
        <v>959.06399999999996</v>
      </c>
      <c r="L138" s="22">
        <v>900.59651243888027</v>
      </c>
      <c r="M138" s="22">
        <v>767.82651149318394</v>
      </c>
      <c r="N138" s="22"/>
      <c r="O138" s="765">
        <f t="shared" ref="O138:O201" si="23">N138-L138</f>
        <v>-900.59651243888027</v>
      </c>
      <c r="P138" s="22">
        <v>798.53957195291139</v>
      </c>
      <c r="Q138" s="23">
        <v>0</v>
      </c>
      <c r="R138" s="22">
        <f>'Админ. расх.'!AI9</f>
        <v>0</v>
      </c>
      <c r="S138" s="768"/>
      <c r="T138" s="254">
        <f>'Админ. расх.'!AR9</f>
        <v>0</v>
      </c>
      <c r="U138" s="22">
        <f t="shared" si="19"/>
        <v>0</v>
      </c>
      <c r="V138" s="971">
        <f t="shared" si="20"/>
        <v>0</v>
      </c>
      <c r="W138" s="254">
        <f t="shared" ref="W138:W143" si="24">V138*1.04</f>
        <v>0</v>
      </c>
      <c r="X138" s="971">
        <f t="shared" si="21"/>
        <v>0</v>
      </c>
      <c r="Y138" s="254">
        <f t="shared" ref="Y138:Y143" si="25">W138*1.04</f>
        <v>0</v>
      </c>
      <c r="Z138" s="971">
        <f t="shared" si="22"/>
        <v>0</v>
      </c>
      <c r="AA138" s="254">
        <f t="shared" ref="AA138:AA143" si="26">Y138*1.04</f>
        <v>0</v>
      </c>
      <c r="AB138" s="971"/>
    </row>
    <row r="139" spans="2:31">
      <c r="B139" s="788"/>
      <c r="C139" s="14" t="s">
        <v>234</v>
      </c>
      <c r="D139" s="48" t="s">
        <v>235</v>
      </c>
      <c r="E139" s="16" t="s">
        <v>22</v>
      </c>
      <c r="F139" s="22">
        <v>0</v>
      </c>
      <c r="G139" s="22">
        <v>0</v>
      </c>
      <c r="H139" s="22">
        <v>309.89999999999998</v>
      </c>
      <c r="I139" s="22">
        <v>499.61520000000002</v>
      </c>
      <c r="J139" s="22">
        <v>319.07303999999999</v>
      </c>
      <c r="K139" s="22">
        <v>171.99839999999998</v>
      </c>
      <c r="L139" s="22">
        <v>327.56754505359453</v>
      </c>
      <c r="M139" s="22">
        <v>286.79039999999998</v>
      </c>
      <c r="N139" s="22">
        <f>'Админ. расх.'!AF10</f>
        <v>194.84502269999996</v>
      </c>
      <c r="O139" s="765">
        <f t="shared" si="23"/>
        <v>-132.72252235359457</v>
      </c>
      <c r="P139" s="22">
        <v>298.26201600000002</v>
      </c>
      <c r="Q139" s="23">
        <v>184.7679052128</v>
      </c>
      <c r="R139" s="22">
        <f>'Админ. расх.'!AI10</f>
        <v>184.77</v>
      </c>
      <c r="S139" s="768">
        <f>534.436</f>
        <v>534.43600000000004</v>
      </c>
      <c r="T139" s="254">
        <v>214.77</v>
      </c>
      <c r="U139" s="22">
        <f t="shared" si="19"/>
        <v>190.27398878814145</v>
      </c>
      <c r="V139" s="971">
        <f t="shared" si="20"/>
        <v>550.46908000000008</v>
      </c>
      <c r="W139" s="254">
        <f t="shared" si="24"/>
        <v>572.48784320000004</v>
      </c>
      <c r="X139" s="971">
        <f t="shared" si="21"/>
        <v>194.77513880801206</v>
      </c>
      <c r="Y139" s="254">
        <f t="shared" si="25"/>
        <v>595.38735692800003</v>
      </c>
      <c r="Z139" s="971">
        <f t="shared" si="22"/>
        <v>206.1768871318279</v>
      </c>
      <c r="AA139" s="254">
        <f t="shared" si="26"/>
        <v>619.20285120512006</v>
      </c>
      <c r="AB139" s="971"/>
    </row>
    <row r="140" spans="2:31" ht="31.5" hidden="1">
      <c r="B140" s="788"/>
      <c r="C140" s="14" t="s">
        <v>236</v>
      </c>
      <c r="D140" s="48" t="s">
        <v>237</v>
      </c>
      <c r="E140" s="16" t="s">
        <v>22</v>
      </c>
      <c r="F140" s="22">
        <v>413.80499999999995</v>
      </c>
      <c r="G140" s="22">
        <v>269.87405000000001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/>
      <c r="O140" s="765">
        <f t="shared" si="23"/>
        <v>0</v>
      </c>
      <c r="P140" s="22">
        <v>0</v>
      </c>
      <c r="Q140" s="23">
        <v>0</v>
      </c>
      <c r="R140" s="22">
        <f>'Админ. расх.'!AI11</f>
        <v>0</v>
      </c>
      <c r="S140" s="768"/>
      <c r="T140" s="254">
        <f>'Админ. расх.'!AR11</f>
        <v>0</v>
      </c>
      <c r="U140" s="22">
        <f t="shared" si="19"/>
        <v>0</v>
      </c>
      <c r="V140" s="971">
        <f t="shared" si="20"/>
        <v>0</v>
      </c>
      <c r="W140" s="254">
        <f t="shared" si="24"/>
        <v>0</v>
      </c>
      <c r="X140" s="971">
        <f t="shared" si="21"/>
        <v>0</v>
      </c>
      <c r="Y140" s="254">
        <f t="shared" si="25"/>
        <v>0</v>
      </c>
      <c r="Z140" s="971">
        <f t="shared" si="22"/>
        <v>0</v>
      </c>
      <c r="AA140" s="254">
        <f t="shared" si="26"/>
        <v>0</v>
      </c>
      <c r="AB140" s="971"/>
    </row>
    <row r="141" spans="2:31">
      <c r="B141" s="788"/>
      <c r="C141" s="14" t="s">
        <v>238</v>
      </c>
      <c r="D141" s="48" t="s">
        <v>239</v>
      </c>
      <c r="E141" s="16" t="s">
        <v>22</v>
      </c>
      <c r="F141" s="22">
        <v>870.16153999999983</v>
      </c>
      <c r="G141" s="22">
        <v>1231.5062</v>
      </c>
      <c r="H141" s="22">
        <v>836.44</v>
      </c>
      <c r="I141" s="22">
        <v>1093.5120000000002</v>
      </c>
      <c r="J141" s="22">
        <v>861.19862400000011</v>
      </c>
      <c r="K141" s="22">
        <v>1217.6827200000002</v>
      </c>
      <c r="L141" s="22">
        <v>884.13601121044053</v>
      </c>
      <c r="M141" s="22">
        <v>559.23839999999996</v>
      </c>
      <c r="N141" s="22">
        <f>'Админ. расх.'!AF12</f>
        <v>1472.5913909999999</v>
      </c>
      <c r="O141" s="765">
        <f t="shared" si="23"/>
        <v>588.4553797895594</v>
      </c>
      <c r="P141" s="22">
        <v>581.607936</v>
      </c>
      <c r="Q141" s="23">
        <v>581.607936</v>
      </c>
      <c r="R141" s="22">
        <f>'Админ. расх.'!AI12</f>
        <v>581.61</v>
      </c>
      <c r="S141" s="768">
        <v>4239.8999999999996</v>
      </c>
      <c r="T141" s="254">
        <v>1623.19</v>
      </c>
      <c r="U141" s="22">
        <f t="shared" si="19"/>
        <v>598.93985249280001</v>
      </c>
      <c r="V141" s="971">
        <f t="shared" si="20"/>
        <v>4367.0969999999998</v>
      </c>
      <c r="W141" s="254">
        <f t="shared" si="24"/>
        <v>4541.7808800000003</v>
      </c>
      <c r="X141" s="971">
        <f t="shared" si="21"/>
        <v>613.10846348434768</v>
      </c>
      <c r="Y141" s="254">
        <f t="shared" si="25"/>
        <v>4723.4521152000007</v>
      </c>
      <c r="Z141" s="971">
        <f t="shared" si="22"/>
        <v>648.99861064907611</v>
      </c>
      <c r="AA141" s="254">
        <f t="shared" si="26"/>
        <v>4912.3901998080009</v>
      </c>
      <c r="AB141" s="971"/>
    </row>
    <row r="142" spans="2:31" ht="21">
      <c r="B142" s="788"/>
      <c r="C142" s="14" t="s">
        <v>240</v>
      </c>
      <c r="D142" s="48" t="s">
        <v>241</v>
      </c>
      <c r="E142" s="16" t="s">
        <v>22</v>
      </c>
      <c r="F142" s="22"/>
      <c r="G142" s="22"/>
      <c r="H142" s="22">
        <v>731.9</v>
      </c>
      <c r="I142" s="22">
        <v>839.7704</v>
      </c>
      <c r="J142" s="56">
        <v>753.56424000000004</v>
      </c>
      <c r="K142" s="22">
        <v>0</v>
      </c>
      <c r="L142" s="22">
        <v>773.63165571119987</v>
      </c>
      <c r="M142" s="22">
        <v>62.3232</v>
      </c>
      <c r="N142" s="22">
        <f>'Админ. расх.'!AF13</f>
        <v>159.87153000000001</v>
      </c>
      <c r="O142" s="765">
        <f t="shared" si="23"/>
        <v>-613.76012571119986</v>
      </c>
      <c r="P142" s="22">
        <v>64.816128000000006</v>
      </c>
      <c r="Q142" s="23">
        <v>64.816128000000006</v>
      </c>
      <c r="R142" s="22">
        <f>'Админ. расх.'!AI13</f>
        <v>64.819999999999993</v>
      </c>
      <c r="S142" s="768">
        <f>6.429+199.74</f>
        <v>206.16900000000001</v>
      </c>
      <c r="T142" s="254">
        <v>176.22</v>
      </c>
      <c r="U142" s="22">
        <f t="shared" si="19"/>
        <v>66.747648614400006</v>
      </c>
      <c r="V142" s="971">
        <f t="shared" si="20"/>
        <v>212.35407000000001</v>
      </c>
      <c r="W142" s="254">
        <f t="shared" si="24"/>
        <v>220.84823280000001</v>
      </c>
      <c r="X142" s="971">
        <f t="shared" si="21"/>
        <v>68.326641002169552</v>
      </c>
      <c r="Y142" s="254">
        <f t="shared" si="25"/>
        <v>229.68216211200001</v>
      </c>
      <c r="Z142" s="971">
        <f t="shared" si="22"/>
        <v>72.326346351045459</v>
      </c>
      <c r="AA142" s="254">
        <f t="shared" si="26"/>
        <v>238.86944859648003</v>
      </c>
      <c r="AB142" s="971"/>
    </row>
    <row r="143" spans="2:31">
      <c r="B143" s="788"/>
      <c r="C143" s="14" t="s">
        <v>242</v>
      </c>
      <c r="D143" s="48" t="s">
        <v>243</v>
      </c>
      <c r="E143" s="16" t="s">
        <v>22</v>
      </c>
      <c r="F143" s="22"/>
      <c r="G143" s="22"/>
      <c r="H143" s="22">
        <v>446.11</v>
      </c>
      <c r="I143" s="22">
        <v>305.16359999999997</v>
      </c>
      <c r="J143" s="56">
        <v>459.32638751999997</v>
      </c>
      <c r="K143" s="22">
        <v>369.36</v>
      </c>
      <c r="L143" s="22">
        <v>471.55824921965751</v>
      </c>
      <c r="M143" s="22">
        <v>371.90399999999994</v>
      </c>
      <c r="N143" s="22">
        <f>'Админ. расх.'!AF14</f>
        <v>582.36794999999995</v>
      </c>
      <c r="O143" s="765">
        <f t="shared" si="23"/>
        <v>110.80970078034244</v>
      </c>
      <c r="P143" s="22">
        <v>386.78016000000002</v>
      </c>
      <c r="Q143" s="23">
        <v>386.78016000000002</v>
      </c>
      <c r="R143" s="22">
        <f>'Админ. расх.'!AI14</f>
        <v>386.77499999999998</v>
      </c>
      <c r="S143" s="768">
        <f>541.943</f>
        <v>541.94299999999998</v>
      </c>
      <c r="T143" s="254">
        <v>641.92999999999995</v>
      </c>
      <c r="U143" s="22">
        <f t="shared" si="19"/>
        <v>398.30620876800003</v>
      </c>
      <c r="V143" s="971">
        <f t="shared" si="20"/>
        <v>558.20128999999997</v>
      </c>
      <c r="W143" s="254">
        <f t="shared" si="24"/>
        <v>580.52934159999995</v>
      </c>
      <c r="X143" s="971">
        <f t="shared" si="21"/>
        <v>407.7286001885472</v>
      </c>
      <c r="Y143" s="254">
        <f t="shared" si="25"/>
        <v>603.750515264</v>
      </c>
      <c r="Z143" s="971">
        <f t="shared" si="22"/>
        <v>431.59621959943024</v>
      </c>
      <c r="AA143" s="254">
        <f t="shared" si="26"/>
        <v>627.90053587455998</v>
      </c>
      <c r="AB143" s="971"/>
    </row>
    <row r="144" spans="2:31" ht="63">
      <c r="B144" s="788"/>
      <c r="C144" s="14" t="s">
        <v>244</v>
      </c>
      <c r="D144" s="15" t="s">
        <v>245</v>
      </c>
      <c r="E144" s="16" t="s">
        <v>22</v>
      </c>
      <c r="F144" s="17">
        <v>29869.113453762238</v>
      </c>
      <c r="G144" s="17">
        <v>28482.582870419996</v>
      </c>
      <c r="H144" s="17">
        <v>31183.354127184</v>
      </c>
      <c r="I144" s="17">
        <v>30414.471578400004</v>
      </c>
      <c r="J144" s="17">
        <v>32106.381409348654</v>
      </c>
      <c r="K144" s="17">
        <v>31775.214724848003</v>
      </c>
      <c r="L144" s="17">
        <f>L145+L156</f>
        <v>32961.374346279597</v>
      </c>
      <c r="M144" s="17">
        <v>33014.91197086488</v>
      </c>
      <c r="N144" s="17">
        <f>N145+N156</f>
        <v>37229.665000000001</v>
      </c>
      <c r="O144" s="765">
        <f t="shared" si="23"/>
        <v>4268.2906537204035</v>
      </c>
      <c r="P144" s="17">
        <v>34335.508449699482</v>
      </c>
      <c r="Q144" s="18">
        <v>33634.783787460714</v>
      </c>
      <c r="R144" s="17">
        <f>R145+R156</f>
        <v>33634.787339999995</v>
      </c>
      <c r="S144" s="770">
        <f>S145+S156</f>
        <v>46242.558000000005</v>
      </c>
      <c r="T144" s="1101">
        <f t="shared" ref="T144:AA144" si="27">T145+T156</f>
        <v>49131.920460000001</v>
      </c>
      <c r="U144" s="17">
        <f t="shared" si="27"/>
        <v>34637.100344327046</v>
      </c>
      <c r="V144" s="970">
        <f t="shared" si="27"/>
        <v>48741.932399999998</v>
      </c>
      <c r="W144" s="1101">
        <f>W145+W156</f>
        <v>50691.609696</v>
      </c>
      <c r="X144" s="970">
        <f t="shared" si="27"/>
        <v>35456.480785637497</v>
      </c>
      <c r="Y144" s="1101">
        <f t="shared" si="27"/>
        <v>51705.44188992001</v>
      </c>
      <c r="Z144" s="970">
        <f t="shared" si="27"/>
        <v>37532.032485100186</v>
      </c>
      <c r="AA144" s="1101">
        <f t="shared" si="27"/>
        <v>52739.551519200009</v>
      </c>
      <c r="AB144" s="970">
        <v>0</v>
      </c>
    </row>
    <row r="145" spans="2:28" ht="42">
      <c r="B145" s="788"/>
      <c r="C145" s="14" t="s">
        <v>246</v>
      </c>
      <c r="D145" s="48" t="s">
        <v>247</v>
      </c>
      <c r="E145" s="16" t="s">
        <v>22</v>
      </c>
      <c r="F145" s="22">
        <v>22940.947353119998</v>
      </c>
      <c r="G145" s="22">
        <v>21876.023709999998</v>
      </c>
      <c r="H145" s="22">
        <v>23950.348792000001</v>
      </c>
      <c r="I145" s="22">
        <v>23359.809200000003</v>
      </c>
      <c r="J145" s="22">
        <v>24659.279116243208</v>
      </c>
      <c r="K145" s="22">
        <v>24404.926824000002</v>
      </c>
      <c r="L145" s="22">
        <v>25315.955719108755</v>
      </c>
      <c r="M145" s="22">
        <v>25357.075246439999</v>
      </c>
      <c r="N145" s="22">
        <f>'Админ. расх.'!AF16</f>
        <v>28949.162</v>
      </c>
      <c r="O145" s="765">
        <f t="shared" si="23"/>
        <v>3633.2062808912451</v>
      </c>
      <c r="P145" s="22">
        <v>26371.358256297604</v>
      </c>
      <c r="Q145" s="23">
        <v>25833.167271475202</v>
      </c>
      <c r="R145" s="22">
        <f>'Админ. расх.'!AI16</f>
        <v>25833.17</v>
      </c>
      <c r="S145" s="768">
        <v>35996.33</v>
      </c>
      <c r="T145" s="254">
        <v>37735.730000000003</v>
      </c>
      <c r="U145" s="22">
        <f>U146*U147/1000*12</f>
        <v>26602.995656165163</v>
      </c>
      <c r="V145" s="971">
        <v>37436.199999999997</v>
      </c>
      <c r="W145" s="254">
        <f>W147*W146*12/1000</f>
        <v>38933.648000000001</v>
      </c>
      <c r="X145" s="971">
        <f>U145*X1</f>
        <v>27232.320111856756</v>
      </c>
      <c r="Y145" s="254">
        <f>W145*1.02</f>
        <v>39712.320960000005</v>
      </c>
      <c r="Z145" s="971">
        <f>X145*Z2</f>
        <v>28826.445841090772</v>
      </c>
      <c r="AA145" s="254">
        <f>Y145*1.02</f>
        <v>40506.567379200009</v>
      </c>
      <c r="AB145" s="971">
        <v>0</v>
      </c>
    </row>
    <row r="146" spans="2:28" ht="31.5">
      <c r="B146" s="788"/>
      <c r="C146" s="28" t="s">
        <v>248</v>
      </c>
      <c r="D146" s="39" t="s">
        <v>149</v>
      </c>
      <c r="E146" s="16" t="s">
        <v>31</v>
      </c>
      <c r="F146" s="22">
        <v>38.283999999999999</v>
      </c>
      <c r="G146" s="22">
        <v>38.846999999999994</v>
      </c>
      <c r="H146" s="22">
        <v>38</v>
      </c>
      <c r="I146" s="22">
        <v>38</v>
      </c>
      <c r="J146" s="22">
        <v>38</v>
      </c>
      <c r="K146" s="22">
        <v>41.1</v>
      </c>
      <c r="L146" s="22">
        <v>38</v>
      </c>
      <c r="M146" s="22">
        <v>38.283999999999999</v>
      </c>
      <c r="N146" s="22">
        <v>44</v>
      </c>
      <c r="O146" s="765">
        <f t="shared" si="23"/>
        <v>6</v>
      </c>
      <c r="P146" s="22">
        <v>40.67</v>
      </c>
      <c r="Q146" s="23">
        <v>39.839999999999996</v>
      </c>
      <c r="R146" s="22">
        <f>'Админ. расх.'!AI18</f>
        <v>39.840000000000003</v>
      </c>
      <c r="S146" s="768">
        <v>48.83</v>
      </c>
      <c r="T146" s="254">
        <v>53</v>
      </c>
      <c r="U146" s="22">
        <f>Q146</f>
        <v>39.839999999999996</v>
      </c>
      <c r="V146" s="971">
        <v>48.83</v>
      </c>
      <c r="W146" s="254">
        <f>V146</f>
        <v>48.83</v>
      </c>
      <c r="X146" s="971">
        <v>39.840000000000003</v>
      </c>
      <c r="Y146" s="254">
        <v>48.83</v>
      </c>
      <c r="Z146" s="971">
        <v>39.840000000000003</v>
      </c>
      <c r="AA146" s="254">
        <v>48.83</v>
      </c>
      <c r="AB146" s="971">
        <v>0</v>
      </c>
    </row>
    <row r="147" spans="2:28" ht="42">
      <c r="B147" s="788"/>
      <c r="C147" s="28" t="s">
        <v>249</v>
      </c>
      <c r="D147" s="29" t="s">
        <v>250</v>
      </c>
      <c r="E147" s="16" t="s">
        <v>152</v>
      </c>
      <c r="F147" s="17">
        <v>49935.89</v>
      </c>
      <c r="G147" s="17">
        <v>46927.741545893725</v>
      </c>
      <c r="H147" s="17">
        <v>52522.694719298248</v>
      </c>
      <c r="I147" s="17">
        <v>51227.651754385966</v>
      </c>
      <c r="J147" s="17">
        <v>54077.366482989491</v>
      </c>
      <c r="K147" s="17">
        <v>49482.820000000007</v>
      </c>
      <c r="L147" s="17">
        <v>55517.446752431482</v>
      </c>
      <c r="M147" s="17">
        <v>55195.110329902825</v>
      </c>
      <c r="N147" s="17">
        <f>N145/12/N146*1000</f>
        <v>54827.958333333328</v>
      </c>
      <c r="O147" s="765">
        <f t="shared" si="23"/>
        <v>-689.48841909815383</v>
      </c>
      <c r="P147" s="17">
        <v>54035.239440000005</v>
      </c>
      <c r="Q147" s="18">
        <v>54035.239440000005</v>
      </c>
      <c r="R147" s="17">
        <f>'Админ. расх.'!AH19</f>
        <v>57050.878596491239</v>
      </c>
      <c r="S147" s="770">
        <f>S145/S146/12*1000</f>
        <v>61431.377568434706</v>
      </c>
      <c r="T147" s="1101">
        <f>T145/T146/12*1000</f>
        <v>59332.908805031453</v>
      </c>
      <c r="U147" s="17">
        <f>Q147*U3</f>
        <v>55645.489575312007</v>
      </c>
      <c r="V147" s="970">
        <f>V145/V146/12*1000</f>
        <v>63888.661342071122</v>
      </c>
      <c r="W147" s="1101">
        <f>V147*1.04</f>
        <v>66444.207795753973</v>
      </c>
      <c r="X147" s="770">
        <f>X145/X146/12*1000</f>
        <v>56961.847623529015</v>
      </c>
      <c r="Y147" s="1101">
        <f>Y145/Y146/12*1000</f>
        <v>67773.091951669063</v>
      </c>
      <c r="Z147" s="770">
        <f>Z145/Z146/12*1000</f>
        <v>60296.280624771527</v>
      </c>
      <c r="AA147" s="1101">
        <f>AA145/AA146/12*1000</f>
        <v>69128.553790702455</v>
      </c>
      <c r="AB147" s="970">
        <v>0</v>
      </c>
    </row>
    <row r="148" spans="2:28" ht="73.5" hidden="1">
      <c r="B148" s="788"/>
      <c r="C148" s="28" t="s">
        <v>251</v>
      </c>
      <c r="D148" s="29" t="s">
        <v>252</v>
      </c>
      <c r="E148" s="16" t="s">
        <v>31</v>
      </c>
      <c r="F148" s="22">
        <v>38</v>
      </c>
      <c r="G148" s="22">
        <v>39</v>
      </c>
      <c r="H148" s="22">
        <v>61</v>
      </c>
      <c r="I148" s="22">
        <v>61.2</v>
      </c>
      <c r="J148" s="22">
        <v>61.2</v>
      </c>
      <c r="K148" s="22">
        <v>69.099999999999994</v>
      </c>
      <c r="L148" s="22">
        <v>68</v>
      </c>
      <c r="M148" s="22">
        <v>68.89</v>
      </c>
      <c r="N148" s="22">
        <v>43.4</v>
      </c>
      <c r="O148" s="765">
        <f t="shared" si="23"/>
        <v>-24.6</v>
      </c>
      <c r="P148" s="22">
        <v>53</v>
      </c>
      <c r="Q148" s="23"/>
      <c r="R148" s="22"/>
      <c r="S148" s="768"/>
      <c r="T148" s="254">
        <v>53</v>
      </c>
      <c r="U148" s="22"/>
      <c r="V148" s="971">
        <v>48.83</v>
      </c>
      <c r="W148" s="254">
        <v>48.83</v>
      </c>
      <c r="X148" s="971">
        <v>0</v>
      </c>
      <c r="Y148" s="254">
        <v>53</v>
      </c>
      <c r="Z148" s="971">
        <v>0</v>
      </c>
      <c r="AA148" s="254">
        <v>53</v>
      </c>
      <c r="AB148" s="971">
        <v>0</v>
      </c>
    </row>
    <row r="149" spans="2:28" ht="73.5" hidden="1">
      <c r="B149" s="788"/>
      <c r="C149" s="28" t="s">
        <v>253</v>
      </c>
      <c r="D149" s="29" t="s">
        <v>254</v>
      </c>
      <c r="E149" s="16" t="s">
        <v>31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765">
        <f t="shared" si="23"/>
        <v>0</v>
      </c>
      <c r="P149" s="22"/>
      <c r="Q149" s="23"/>
      <c r="R149" s="22"/>
      <c r="S149" s="768"/>
      <c r="T149" s="254"/>
      <c r="U149" s="22"/>
      <c r="V149" s="971"/>
      <c r="W149" s="254"/>
      <c r="X149" s="971"/>
      <c r="Y149" s="254"/>
      <c r="Z149" s="971"/>
      <c r="AA149" s="254"/>
      <c r="AB149" s="971"/>
    </row>
    <row r="150" spans="2:28" ht="21" hidden="1">
      <c r="B150" s="788"/>
      <c r="C150" s="28" t="s">
        <v>255</v>
      </c>
      <c r="D150" s="29" t="s">
        <v>158</v>
      </c>
      <c r="E150" s="16" t="s">
        <v>152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765">
        <f t="shared" si="23"/>
        <v>0</v>
      </c>
      <c r="P150" s="22"/>
      <c r="Q150" s="23"/>
      <c r="R150" s="22"/>
      <c r="S150" s="768"/>
      <c r="T150" s="254"/>
      <c r="U150" s="22"/>
      <c r="V150" s="971"/>
      <c r="W150" s="254"/>
      <c r="X150" s="971"/>
      <c r="Y150" s="254"/>
      <c r="Z150" s="971"/>
      <c r="AA150" s="254"/>
      <c r="AB150" s="971"/>
    </row>
    <row r="151" spans="2:28" ht="31.5" hidden="1">
      <c r="B151" s="788"/>
      <c r="C151" s="28" t="s">
        <v>256</v>
      </c>
      <c r="D151" s="39" t="s">
        <v>160</v>
      </c>
      <c r="E151" s="16"/>
      <c r="F151" s="22"/>
      <c r="G151" s="22"/>
      <c r="H151" s="22"/>
      <c r="I151" s="22"/>
      <c r="J151" s="22"/>
      <c r="K151" s="22"/>
      <c r="L151" s="22"/>
      <c r="M151" s="22"/>
      <c r="N151" s="22"/>
      <c r="O151" s="765">
        <f t="shared" si="23"/>
        <v>0</v>
      </c>
      <c r="P151" s="22"/>
      <c r="Q151" s="23"/>
      <c r="R151" s="22"/>
      <c r="S151" s="768"/>
      <c r="T151" s="254"/>
      <c r="U151" s="22"/>
      <c r="V151" s="971"/>
      <c r="W151" s="254"/>
      <c r="X151" s="971"/>
      <c r="Y151" s="254"/>
      <c r="Z151" s="971"/>
      <c r="AA151" s="254"/>
      <c r="AB151" s="971"/>
    </row>
    <row r="152" spans="2:28" ht="31.5" hidden="1">
      <c r="B152" s="788"/>
      <c r="C152" s="28" t="s">
        <v>257</v>
      </c>
      <c r="D152" s="29" t="s">
        <v>162</v>
      </c>
      <c r="E152" s="16" t="s">
        <v>152</v>
      </c>
      <c r="F152" s="22">
        <v>7479</v>
      </c>
      <c r="G152" s="22">
        <v>7479</v>
      </c>
      <c r="H152" s="22">
        <v>7893</v>
      </c>
      <c r="I152" s="22">
        <v>7893</v>
      </c>
      <c r="J152" s="22">
        <v>8288</v>
      </c>
      <c r="K152" s="22">
        <v>8288</v>
      </c>
      <c r="L152" s="22">
        <v>8702</v>
      </c>
      <c r="M152" s="22">
        <v>8702</v>
      </c>
      <c r="N152" s="22">
        <v>9097</v>
      </c>
      <c r="O152" s="765">
        <f t="shared" si="23"/>
        <v>395</v>
      </c>
      <c r="P152" s="22">
        <v>9050.08</v>
      </c>
      <c r="Q152" s="23"/>
      <c r="R152" s="22">
        <v>9460.8799999999992</v>
      </c>
      <c r="S152" s="768"/>
      <c r="T152" s="254">
        <v>9460.8799999999992</v>
      </c>
      <c r="U152" s="22"/>
      <c r="V152" s="971"/>
      <c r="W152" s="254">
        <v>9739.44</v>
      </c>
      <c r="X152" s="971"/>
      <c r="Y152" s="254">
        <f>W152*1.03</f>
        <v>10031.6232</v>
      </c>
      <c r="Z152" s="971"/>
      <c r="AA152" s="254">
        <f>Y152*1.03</f>
        <v>10332.571895999999</v>
      </c>
      <c r="AB152" s="971"/>
    </row>
    <row r="153" spans="2:28" ht="21" hidden="1">
      <c r="B153" s="788"/>
      <c r="C153" s="28" t="s">
        <v>258</v>
      </c>
      <c r="D153" s="39" t="s">
        <v>164</v>
      </c>
      <c r="E153" s="16"/>
      <c r="F153" s="22"/>
      <c r="G153" s="22"/>
      <c r="H153" s="22"/>
      <c r="I153" s="22"/>
      <c r="J153" s="22"/>
      <c r="K153" s="22"/>
      <c r="L153" s="22"/>
      <c r="M153" s="22"/>
      <c r="N153" s="22"/>
      <c r="O153" s="765">
        <f t="shared" si="23"/>
        <v>0</v>
      </c>
      <c r="P153" s="22"/>
      <c r="Q153" s="23"/>
      <c r="R153" s="22"/>
      <c r="S153" s="768"/>
      <c r="T153" s="254"/>
      <c r="U153" s="22"/>
      <c r="V153" s="971"/>
      <c r="W153" s="254"/>
      <c r="X153" s="971"/>
      <c r="Y153" s="254"/>
      <c r="Z153" s="971"/>
      <c r="AA153" s="254"/>
      <c r="AB153" s="971"/>
    </row>
    <row r="154" spans="2:28" ht="21" hidden="1">
      <c r="B154" s="788"/>
      <c r="C154" s="28" t="s">
        <v>259</v>
      </c>
      <c r="D154" s="39" t="s">
        <v>166</v>
      </c>
      <c r="E154" s="16" t="s">
        <v>152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765">
        <f t="shared" si="23"/>
        <v>0</v>
      </c>
      <c r="P154" s="22"/>
      <c r="Q154" s="23"/>
      <c r="R154" s="22"/>
      <c r="S154" s="768"/>
      <c r="T154" s="254"/>
      <c r="U154" s="22"/>
      <c r="V154" s="971"/>
      <c r="W154" s="254"/>
      <c r="X154" s="971"/>
      <c r="Y154" s="254"/>
      <c r="Z154" s="971"/>
      <c r="AA154" s="254"/>
      <c r="AB154" s="971"/>
    </row>
    <row r="155" spans="2:28" ht="42" hidden="1">
      <c r="B155" s="788"/>
      <c r="C155" s="28" t="s">
        <v>260</v>
      </c>
      <c r="D155" s="39" t="s">
        <v>168</v>
      </c>
      <c r="E155" s="16" t="s">
        <v>152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765">
        <f t="shared" si="23"/>
        <v>0</v>
      </c>
      <c r="P155" s="22"/>
      <c r="Q155" s="23"/>
      <c r="R155" s="22"/>
      <c r="S155" s="768"/>
      <c r="T155" s="254"/>
      <c r="U155" s="22"/>
      <c r="V155" s="971"/>
      <c r="W155" s="254"/>
      <c r="X155" s="971"/>
      <c r="Y155" s="254"/>
      <c r="Z155" s="971"/>
      <c r="AA155" s="254"/>
      <c r="AB155" s="971"/>
    </row>
    <row r="156" spans="2:28" ht="52.5">
      <c r="B156" s="788"/>
      <c r="C156" s="14" t="s">
        <v>261</v>
      </c>
      <c r="D156" s="40" t="s">
        <v>262</v>
      </c>
      <c r="E156" s="16" t="s">
        <v>22</v>
      </c>
      <c r="F156" s="22">
        <v>6928.1661006422391</v>
      </c>
      <c r="G156" s="22">
        <v>6606.559160419999</v>
      </c>
      <c r="H156" s="22">
        <v>7233.0053351839997</v>
      </c>
      <c r="I156" s="22">
        <v>7054.6623784000012</v>
      </c>
      <c r="J156" s="22">
        <v>7447.1022931054458</v>
      </c>
      <c r="K156" s="22">
        <v>7370.2879008480004</v>
      </c>
      <c r="L156" s="22">
        <v>7645.418627170844</v>
      </c>
      <c r="M156" s="22">
        <v>7657.8367244248793</v>
      </c>
      <c r="N156" s="22">
        <v>8280.5030000000006</v>
      </c>
      <c r="O156" s="765">
        <f t="shared" si="23"/>
        <v>635.08437282915656</v>
      </c>
      <c r="P156" s="22">
        <v>7964.1501934018761</v>
      </c>
      <c r="Q156" s="23">
        <v>7801.6165159855109</v>
      </c>
      <c r="R156" s="22">
        <f>'Админ. расх.'!AI35</f>
        <v>7801.6173399999989</v>
      </c>
      <c r="S156" s="768">
        <v>10246.227999999999</v>
      </c>
      <c r="T156" s="254">
        <f t="shared" ref="T156:Y156" si="28">T145*0.302</f>
        <v>11396.19046</v>
      </c>
      <c r="U156" s="22">
        <f t="shared" si="28"/>
        <v>8034.1046881618795</v>
      </c>
      <c r="V156" s="971">
        <f t="shared" si="28"/>
        <v>11305.732399999999</v>
      </c>
      <c r="W156" s="254">
        <f t="shared" si="28"/>
        <v>11757.961696</v>
      </c>
      <c r="X156" s="22">
        <f t="shared" si="28"/>
        <v>8224.1606737807397</v>
      </c>
      <c r="Y156" s="254">
        <f t="shared" si="28"/>
        <v>11993.120929920002</v>
      </c>
      <c r="Z156" s="971">
        <f>X156*Z2</f>
        <v>8705.5866440094123</v>
      </c>
      <c r="AA156" s="254">
        <f>'Админ. расх.'!BA35</f>
        <v>12232.984139999999</v>
      </c>
      <c r="AB156" s="971">
        <v>0</v>
      </c>
    </row>
    <row r="157" spans="2:28" ht="105">
      <c r="B157" s="788"/>
      <c r="C157" s="14" t="s">
        <v>263</v>
      </c>
      <c r="D157" s="15" t="s">
        <v>1362</v>
      </c>
      <c r="E157" s="16" t="s">
        <v>22</v>
      </c>
      <c r="F157" s="22">
        <v>6.50265</v>
      </c>
      <c r="G157" s="22">
        <v>22.238499999999998</v>
      </c>
      <c r="H157" s="22">
        <v>6.7785199999999985</v>
      </c>
      <c r="I157" s="22">
        <v>17.2</v>
      </c>
      <c r="J157" s="22">
        <v>0</v>
      </c>
      <c r="K157" s="22">
        <v>0</v>
      </c>
      <c r="L157" s="22">
        <v>7.1650193344329587</v>
      </c>
      <c r="M157" s="22">
        <v>0</v>
      </c>
      <c r="N157" s="22">
        <f>'Админ. расх.'!AF38</f>
        <v>238.13948400000001</v>
      </c>
      <c r="O157" s="765">
        <f t="shared" si="23"/>
        <v>230.97446466556704</v>
      </c>
      <c r="P157" s="22">
        <v>0</v>
      </c>
      <c r="Q157" s="23"/>
      <c r="R157" s="22">
        <f>'Админ. расх.'!AI38</f>
        <v>0</v>
      </c>
      <c r="S157" s="768">
        <v>23.018000000000001</v>
      </c>
      <c r="T157" s="254">
        <v>263</v>
      </c>
      <c r="U157" s="22"/>
      <c r="V157" s="971"/>
      <c r="W157" s="254">
        <f>'Админ. расх.'!AU38</f>
        <v>0</v>
      </c>
      <c r="X157" s="971"/>
      <c r="Y157" s="254">
        <f>'Админ. расх.'!AX38</f>
        <v>0</v>
      </c>
      <c r="Z157" s="971"/>
      <c r="AA157" s="254">
        <f>'Админ. расх.'!BA38</f>
        <v>0</v>
      </c>
      <c r="AB157" s="971"/>
    </row>
    <row r="158" spans="2:28">
      <c r="B158" s="788"/>
      <c r="C158" s="14" t="s">
        <v>264</v>
      </c>
      <c r="D158" s="15" t="s">
        <v>265</v>
      </c>
      <c r="E158" s="16" t="s">
        <v>22</v>
      </c>
      <c r="F158" s="22">
        <v>296.98249999999996</v>
      </c>
      <c r="G158" s="22">
        <v>593.51459999999997</v>
      </c>
      <c r="H158" s="22">
        <v>304.99399</v>
      </c>
      <c r="I158" s="22">
        <v>818.83</v>
      </c>
      <c r="J158" s="22">
        <v>314.02181210399999</v>
      </c>
      <c r="K158" s="22">
        <v>260.63328000000001</v>
      </c>
      <c r="L158" s="22">
        <v>322.38421296032948</v>
      </c>
      <c r="M158" s="22">
        <v>275.7312</v>
      </c>
      <c r="N158" s="22">
        <f>'Админ. расх.'!AF39</f>
        <v>1035.1110480000002</v>
      </c>
      <c r="O158" s="765">
        <f t="shared" si="23"/>
        <v>712.72683503967073</v>
      </c>
      <c r="P158" s="22">
        <v>286.76044800000005</v>
      </c>
      <c r="Q158" s="23">
        <v>0</v>
      </c>
      <c r="R158" s="22">
        <f>'Админ. расх.'!AI39</f>
        <v>0</v>
      </c>
      <c r="S158" s="768">
        <f>1554.52+226.571</f>
        <v>1781.0909999999999</v>
      </c>
      <c r="T158" s="254">
        <v>1140.97</v>
      </c>
      <c r="U158" s="22">
        <f>Q158*$U$3</f>
        <v>0</v>
      </c>
      <c r="V158" s="971">
        <f>S158*1.1</f>
        <v>1959.2001</v>
      </c>
      <c r="W158" s="254">
        <f>V158*1.03</f>
        <v>2017.976103</v>
      </c>
      <c r="X158" s="971">
        <f>U158*$X$1</f>
        <v>0</v>
      </c>
      <c r="Y158" s="254">
        <f>'Админ. расх.'!AX39</f>
        <v>2078.5194000000001</v>
      </c>
      <c r="Z158" s="971">
        <f>X158</f>
        <v>0</v>
      </c>
      <c r="AA158" s="254">
        <f>'Админ. расх.'!BA39</f>
        <v>2140.8749820000003</v>
      </c>
      <c r="AB158" s="971"/>
    </row>
    <row r="159" spans="2:28">
      <c r="B159" s="788"/>
      <c r="C159" s="14" t="s">
        <v>266</v>
      </c>
      <c r="D159" s="15" t="s">
        <v>267</v>
      </c>
      <c r="E159" s="16" t="s">
        <v>22</v>
      </c>
      <c r="F159" s="22">
        <v>311.00119999999998</v>
      </c>
      <c r="G159" s="22">
        <v>657.02099999999996</v>
      </c>
      <c r="H159" s="22">
        <v>319.08587999999997</v>
      </c>
      <c r="I159" s="22">
        <v>872.55</v>
      </c>
      <c r="J159" s="22">
        <v>328.530822048</v>
      </c>
      <c r="K159" s="22">
        <v>44.783999999999999</v>
      </c>
      <c r="L159" s="22">
        <v>337.27959783913821</v>
      </c>
      <c r="M159" s="22">
        <v>434.01600000000002</v>
      </c>
      <c r="N159" s="22">
        <f>'Админ. расх.'!AF40</f>
        <v>534.50540100000001</v>
      </c>
      <c r="O159" s="765">
        <f t="shared" si="23"/>
        <v>197.2258031608618</v>
      </c>
      <c r="P159" s="22">
        <v>451.37664000000001</v>
      </c>
      <c r="Q159" s="23">
        <v>48.108853727999985</v>
      </c>
      <c r="R159" s="22">
        <f>'Админ. расх.'!AI40</f>
        <v>48.11</v>
      </c>
      <c r="S159" s="768">
        <f>562.834</f>
        <v>562.83399999999995</v>
      </c>
      <c r="T159" s="254">
        <v>589.16999999999996</v>
      </c>
      <c r="U159" s="22">
        <f t="shared" ref="U159:U168" si="29">Q159*$U$3</f>
        <v>49.542497569094387</v>
      </c>
      <c r="V159" s="971">
        <f t="shared" ref="V159:V164" si="30">S159*1.03</f>
        <v>579.71902</v>
      </c>
      <c r="W159" s="254">
        <f t="shared" ref="W159:W167" si="31">V159*1.03</f>
        <v>597.11059060000002</v>
      </c>
      <c r="X159" s="971">
        <f t="shared" ref="X159:X168" si="32">U159*$X$1</f>
        <v>50.714482322963526</v>
      </c>
      <c r="Y159" s="254">
        <f>'Админ. расх.'!AX40</f>
        <v>615.02330000000006</v>
      </c>
      <c r="Z159" s="971">
        <f>X159*$Z$2</f>
        <v>53.683207014203496</v>
      </c>
      <c r="AA159" s="254">
        <f>'Админ. расх.'!BA40</f>
        <v>633.47399900000005</v>
      </c>
      <c r="AB159" s="971"/>
    </row>
    <row r="160" spans="2:28" ht="31.5">
      <c r="B160" s="788"/>
      <c r="C160" s="14" t="s">
        <v>268</v>
      </c>
      <c r="D160" s="15" t="s">
        <v>269</v>
      </c>
      <c r="E160" s="16" t="s">
        <v>22</v>
      </c>
      <c r="F160" s="22">
        <v>76.004999999999995</v>
      </c>
      <c r="G160" s="22">
        <v>54.273199999999996</v>
      </c>
      <c r="H160" s="22">
        <v>58.6</v>
      </c>
      <c r="I160" s="22">
        <v>93.08</v>
      </c>
      <c r="J160" s="22">
        <v>60.806837520000002</v>
      </c>
      <c r="K160" s="22">
        <v>409.56799999999998</v>
      </c>
      <c r="L160" s="22">
        <v>61.94</v>
      </c>
      <c r="M160" s="22">
        <v>53.855999999999995</v>
      </c>
      <c r="N160" s="22">
        <f>'Админ. расх.'!AF41</f>
        <v>38.565950999999998</v>
      </c>
      <c r="O160" s="765">
        <f t="shared" si="23"/>
        <v>-23.374048999999999</v>
      </c>
      <c r="P160" s="22">
        <v>56.010239999999989</v>
      </c>
      <c r="Q160" s="23">
        <v>56.010239999999989</v>
      </c>
      <c r="R160" s="22">
        <f>'Админ. расх.'!AI41</f>
        <v>56.01</v>
      </c>
      <c r="S160" s="768">
        <f>32.71+39.128</f>
        <v>71.837999999999994</v>
      </c>
      <c r="T160" s="254">
        <v>42.51</v>
      </c>
      <c r="U160" s="22">
        <f t="shared" si="29"/>
        <v>57.679345151999989</v>
      </c>
      <c r="V160" s="971">
        <f t="shared" si="30"/>
        <v>73.993139999999997</v>
      </c>
      <c r="W160" s="254">
        <v>76.709999999999994</v>
      </c>
      <c r="X160" s="971">
        <f t="shared" si="32"/>
        <v>59.043816392817476</v>
      </c>
      <c r="Y160" s="254">
        <f>'Админ. расх.'!AX41</f>
        <v>79.011299999999991</v>
      </c>
      <c r="Z160" s="971">
        <f t="shared" ref="Z160:Z181" si="33">X160*$Z$2</f>
        <v>62.500123695219486</v>
      </c>
      <c r="AA160" s="254">
        <f>'Админ. расх.'!BA41</f>
        <v>81.381638999999993</v>
      </c>
      <c r="AB160" s="971"/>
    </row>
    <row r="161" spans="2:28" ht="21">
      <c r="B161" s="788"/>
      <c r="C161" s="14" t="s">
        <v>270</v>
      </c>
      <c r="D161" s="15" t="s">
        <v>271</v>
      </c>
      <c r="E161" s="16" t="s">
        <v>22</v>
      </c>
      <c r="F161" s="22">
        <v>56.96434</v>
      </c>
      <c r="G161" s="22">
        <v>577.63799999999992</v>
      </c>
      <c r="H161" s="22">
        <v>300.52939999999995</v>
      </c>
      <c r="I161" s="22">
        <v>815.92000000000007</v>
      </c>
      <c r="J161" s="22">
        <v>309.42507023999997</v>
      </c>
      <c r="K161" s="22">
        <v>98.044799999999995</v>
      </c>
      <c r="L161" s="22">
        <v>317.66505986049111</v>
      </c>
      <c r="M161" s="22">
        <v>281.66678131857401</v>
      </c>
      <c r="N161" s="22">
        <f>'Админ. расх.'!AF42</f>
        <v>836.01840600000003</v>
      </c>
      <c r="O161" s="765">
        <f t="shared" si="23"/>
        <v>518.35334613950886</v>
      </c>
      <c r="P161" s="22">
        <v>292.93345257131705</v>
      </c>
      <c r="Q161" s="23">
        <v>105.32384204159999</v>
      </c>
      <c r="R161" s="22">
        <f>'Админ. расх.'!AI42</f>
        <v>105.32</v>
      </c>
      <c r="S161" s="768">
        <f>722.82+562.465</f>
        <v>1285.2850000000001</v>
      </c>
      <c r="T161" s="254">
        <v>921.52</v>
      </c>
      <c r="U161" s="22">
        <f t="shared" si="29"/>
        <v>108.46249253443968</v>
      </c>
      <c r="V161" s="971">
        <f t="shared" si="30"/>
        <v>1323.8435500000001</v>
      </c>
      <c r="W161" s="254">
        <f t="shared" si="31"/>
        <v>1363.5588565</v>
      </c>
      <c r="X161" s="971">
        <f t="shared" si="32"/>
        <v>111.02829752720827</v>
      </c>
      <c r="Y161" s="254">
        <f>'Админ. расх.'!AX42</f>
        <v>1404.4667999999999</v>
      </c>
      <c r="Z161" s="971">
        <f t="shared" si="33"/>
        <v>117.52767271941272</v>
      </c>
      <c r="AA161" s="254">
        <f>'Админ. расх.'!BA42</f>
        <v>1446.6008039999999</v>
      </c>
      <c r="AB161" s="971"/>
    </row>
    <row r="162" spans="2:28" ht="21">
      <c r="B162" s="788"/>
      <c r="C162" s="14" t="s">
        <v>272</v>
      </c>
      <c r="D162" s="15" t="s">
        <v>273</v>
      </c>
      <c r="E162" s="16"/>
      <c r="F162" s="22"/>
      <c r="G162" s="22"/>
      <c r="H162" s="22">
        <v>312.35802999999993</v>
      </c>
      <c r="I162" s="22">
        <v>0</v>
      </c>
      <c r="J162" s="22">
        <v>321.60382768799991</v>
      </c>
      <c r="K162" s="22">
        <v>168.60479999999998</v>
      </c>
      <c r="L162" s="22">
        <v>330.16813761933133</v>
      </c>
      <c r="M162" s="22">
        <v>371.05919999999998</v>
      </c>
      <c r="N162" s="22">
        <f>'Админ. расх.'!AF43</f>
        <v>537.43266600000004</v>
      </c>
      <c r="O162" s="765">
        <f t="shared" si="23"/>
        <v>207.26452838066871</v>
      </c>
      <c r="P162" s="22">
        <v>385.901568</v>
      </c>
      <c r="Q162" s="23">
        <v>181.12235756160001</v>
      </c>
      <c r="R162" s="22">
        <f>'Админ. расх.'!AI43</f>
        <v>181.12</v>
      </c>
      <c r="S162" s="768">
        <f>727.591</f>
        <v>727.59100000000001</v>
      </c>
      <c r="T162" s="254">
        <v>592.39</v>
      </c>
      <c r="U162" s="22">
        <f t="shared" si="29"/>
        <v>186.51980381693571</v>
      </c>
      <c r="V162" s="971">
        <f t="shared" si="30"/>
        <v>749.41872999999998</v>
      </c>
      <c r="W162" s="254">
        <f t="shared" si="31"/>
        <v>771.90129190000005</v>
      </c>
      <c r="X162" s="971">
        <f t="shared" si="32"/>
        <v>190.93214427399974</v>
      </c>
      <c r="Y162" s="254">
        <f>'Админ. расх.'!AX43</f>
        <v>795.05700000000002</v>
      </c>
      <c r="Z162" s="971">
        <f t="shared" si="33"/>
        <v>202.10893135915464</v>
      </c>
      <c r="AA162" s="254">
        <f>'Админ. расх.'!BA43</f>
        <v>818.90871000000004</v>
      </c>
      <c r="AB162" s="971"/>
    </row>
    <row r="163" spans="2:28" ht="21">
      <c r="B163" s="788"/>
      <c r="C163" s="14" t="s">
        <v>274</v>
      </c>
      <c r="D163" s="15" t="s">
        <v>275</v>
      </c>
      <c r="E163" s="16"/>
      <c r="F163" s="22"/>
      <c r="G163" s="22"/>
      <c r="H163" s="22">
        <v>424.02907999999996</v>
      </c>
      <c r="I163" s="22">
        <v>561.28800000000001</v>
      </c>
      <c r="J163" s="22">
        <v>436.58034076799993</v>
      </c>
      <c r="K163" s="22">
        <v>669.50399999999991</v>
      </c>
      <c r="L163" s="22">
        <v>448.20647524265178</v>
      </c>
      <c r="M163" s="22">
        <v>557.74080000000004</v>
      </c>
      <c r="N163" s="22">
        <f>'Админ. расх.'!AF44</f>
        <v>1012.992888</v>
      </c>
      <c r="O163" s="765">
        <f t="shared" si="23"/>
        <v>564.78641275734822</v>
      </c>
      <c r="P163" s="22">
        <v>580.050432</v>
      </c>
      <c r="Q163" s="23">
        <v>580.050432</v>
      </c>
      <c r="R163" s="22">
        <f>'Админ. расх.'!AI44</f>
        <v>580.04999999999995</v>
      </c>
      <c r="S163" s="768">
        <v>1118.634</v>
      </c>
      <c r="T163" s="254">
        <v>1116.5899999999999</v>
      </c>
      <c r="U163" s="22">
        <f t="shared" si="29"/>
        <v>597.33593487360008</v>
      </c>
      <c r="V163" s="971">
        <f t="shared" si="30"/>
        <v>1152.1930199999999</v>
      </c>
      <c r="W163" s="254">
        <f t="shared" si="31"/>
        <v>1186.7588106000001</v>
      </c>
      <c r="X163" s="971">
        <f t="shared" si="32"/>
        <v>611.4666033493603</v>
      </c>
      <c r="Y163" s="254">
        <f>'Админ. расх.'!AX44</f>
        <v>1222.3731</v>
      </c>
      <c r="Z163" s="971">
        <f t="shared" si="33"/>
        <v>647.26063929498457</v>
      </c>
      <c r="AA163" s="254">
        <f>'Админ. расх.'!BA44</f>
        <v>1259.0442930000002</v>
      </c>
      <c r="AB163" s="971"/>
    </row>
    <row r="164" spans="2:28" ht="21">
      <c r="B164" s="788"/>
      <c r="C164" s="14" t="s">
        <v>276</v>
      </c>
      <c r="D164" s="15" t="s">
        <v>277</v>
      </c>
      <c r="E164" s="16"/>
      <c r="F164" s="22"/>
      <c r="G164" s="22"/>
      <c r="H164" s="22">
        <v>669.15927999999985</v>
      </c>
      <c r="I164" s="22">
        <v>1678.3256000000003</v>
      </c>
      <c r="J164" s="22">
        <v>688.96639468799992</v>
      </c>
      <c r="K164" s="22">
        <v>386.42496</v>
      </c>
      <c r="L164" s="22">
        <v>707.32</v>
      </c>
      <c r="M164" s="22">
        <v>405.74620800000002</v>
      </c>
      <c r="N164" s="22">
        <f>'Админ. расх.'!AF45</f>
        <v>963.22514400000011</v>
      </c>
      <c r="O164" s="765">
        <f t="shared" si="23"/>
        <v>255.90514400000006</v>
      </c>
      <c r="P164" s="22">
        <v>421.97605632</v>
      </c>
      <c r="Q164" s="23">
        <v>415.11392188031999</v>
      </c>
      <c r="R164" s="22">
        <f>'Админ. расх.'!AI45</f>
        <v>415.11</v>
      </c>
      <c r="S164" s="768">
        <f>1329.331+110.468</f>
        <v>1439.799</v>
      </c>
      <c r="T164" s="254">
        <v>1061.73</v>
      </c>
      <c r="U164" s="22">
        <f t="shared" si="29"/>
        <v>427.48431675235355</v>
      </c>
      <c r="V164" s="971">
        <f t="shared" si="30"/>
        <v>1482.99297</v>
      </c>
      <c r="W164" s="254">
        <f t="shared" si="31"/>
        <v>1527.4827591000001</v>
      </c>
      <c r="X164" s="971">
        <f t="shared" si="32"/>
        <v>437.5969498720948</v>
      </c>
      <c r="Y164" s="254">
        <f>'Админ. расх.'!AX45</f>
        <v>1573.3044</v>
      </c>
      <c r="Z164" s="971">
        <f t="shared" si="33"/>
        <v>463.21300292817324</v>
      </c>
      <c r="AA164" s="254">
        <f>'Админ. расх.'!BA45</f>
        <v>1620.503532</v>
      </c>
      <c r="AB164" s="971"/>
    </row>
    <row r="165" spans="2:28" ht="21">
      <c r="B165" s="788"/>
      <c r="C165" s="14" t="s">
        <v>278</v>
      </c>
      <c r="D165" s="15" t="s">
        <v>279</v>
      </c>
      <c r="E165" s="16"/>
      <c r="F165" s="22"/>
      <c r="G165" s="22"/>
      <c r="H165" s="22">
        <v>0</v>
      </c>
      <c r="I165" s="22">
        <v>557.22800000000007</v>
      </c>
      <c r="J165" s="22">
        <v>551.38295440800005</v>
      </c>
      <c r="K165" s="22">
        <v>370.08</v>
      </c>
      <c r="L165" s="22">
        <v>0</v>
      </c>
      <c r="M165" s="22">
        <v>388.584</v>
      </c>
      <c r="N165" s="22">
        <f>'Админ. расх.'!AF46</f>
        <v>0</v>
      </c>
      <c r="O165" s="765">
        <f t="shared" si="23"/>
        <v>0</v>
      </c>
      <c r="P165" s="22">
        <v>404.12736000000007</v>
      </c>
      <c r="Q165" s="23">
        <v>397.55547935999999</v>
      </c>
      <c r="R165" s="22">
        <f>'Админ. расх.'!AI46</f>
        <v>397.36</v>
      </c>
      <c r="S165" s="768">
        <v>344.32</v>
      </c>
      <c r="T165" s="254">
        <v>0</v>
      </c>
      <c r="U165" s="22">
        <f t="shared" si="29"/>
        <v>409.40263264492802</v>
      </c>
      <c r="V165" s="971">
        <v>353.46</v>
      </c>
      <c r="W165" s="254">
        <v>363.54</v>
      </c>
      <c r="X165" s="971">
        <f t="shared" si="32"/>
        <v>419.0875227331714</v>
      </c>
      <c r="Y165" s="254">
        <f>'Админ. расх.'!AX46</f>
        <v>374.44208000000003</v>
      </c>
      <c r="Z165" s="971">
        <f t="shared" si="33"/>
        <v>443.62007082476856</v>
      </c>
      <c r="AA165" s="254">
        <f>'Админ. расх.'!BA46</f>
        <v>385.67534240000003</v>
      </c>
      <c r="AB165" s="971"/>
    </row>
    <row r="166" spans="2:28" ht="21">
      <c r="B166" s="788"/>
      <c r="C166" s="14" t="s">
        <v>280</v>
      </c>
      <c r="D166" s="15" t="s">
        <v>177</v>
      </c>
      <c r="E166" s="16" t="s">
        <v>22</v>
      </c>
      <c r="F166" s="22">
        <v>8120.7119999999995</v>
      </c>
      <c r="G166" s="22">
        <v>10192.7772</v>
      </c>
      <c r="H166" s="22">
        <v>7795.0615399999988</v>
      </c>
      <c r="I166" s="22">
        <v>10857.974400000003</v>
      </c>
      <c r="J166" s="22">
        <v>8025.7953615839997</v>
      </c>
      <c r="K166" s="22">
        <v>2181.1771199999998</v>
      </c>
      <c r="L166" s="22">
        <v>8239.5322920629806</v>
      </c>
      <c r="M166" s="22">
        <v>2635.0991669099999</v>
      </c>
      <c r="N166" s="22">
        <f>N167+N168</f>
        <v>8.7775989999999986</v>
      </c>
      <c r="O166" s="765">
        <f t="shared" si="23"/>
        <v>-8230.7546930629815</v>
      </c>
      <c r="P166" s="22">
        <v>2336.4769309440003</v>
      </c>
      <c r="Q166" s="23">
        <v>2336.4769309440003</v>
      </c>
      <c r="R166" s="22">
        <f>R168</f>
        <v>2336.48</v>
      </c>
      <c r="S166" s="22">
        <f>S168</f>
        <v>2302.4319999999998</v>
      </c>
      <c r="T166" s="254">
        <f>T168</f>
        <v>2490.3104512</v>
      </c>
      <c r="U166" s="22">
        <f t="shared" si="29"/>
        <v>2406.1039434861318</v>
      </c>
      <c r="V166" s="971">
        <f>V167+V168</f>
        <v>2394.5292799999997</v>
      </c>
      <c r="W166" s="254">
        <f>W167+W168</f>
        <v>2490.3104512</v>
      </c>
      <c r="X166" s="971">
        <f>U166*$X$1</f>
        <v>2463.0230992888314</v>
      </c>
      <c r="Y166" s="254">
        <f>'Админ. расх.'!AX47</f>
        <v>2589.9228692480001</v>
      </c>
      <c r="Z166" s="971">
        <f>X166*$Z$2</f>
        <v>2607.2035612599921</v>
      </c>
      <c r="AA166" s="254">
        <f>'Админ. расх.'!BA47</f>
        <v>2693.5197840179203</v>
      </c>
      <c r="AB166" s="971">
        <v>0</v>
      </c>
    </row>
    <row r="167" spans="2:28" ht="31.5">
      <c r="B167" s="788"/>
      <c r="C167" s="14" t="s">
        <v>281</v>
      </c>
      <c r="D167" s="48" t="s">
        <v>282</v>
      </c>
      <c r="E167" s="16" t="s">
        <v>22</v>
      </c>
      <c r="F167" s="22"/>
      <c r="G167" s="22">
        <v>0</v>
      </c>
      <c r="H167" s="22"/>
      <c r="I167" s="22"/>
      <c r="J167" s="22"/>
      <c r="K167" s="22"/>
      <c r="L167" s="22"/>
      <c r="M167" s="22"/>
      <c r="N167" s="22"/>
      <c r="O167" s="765">
        <f t="shared" si="23"/>
        <v>0</v>
      </c>
      <c r="P167" s="22"/>
      <c r="Q167" s="23"/>
      <c r="R167" s="22"/>
      <c r="S167" s="768"/>
      <c r="T167" s="254"/>
      <c r="U167" s="22"/>
      <c r="V167" s="971"/>
      <c r="W167" s="254">
        <f t="shared" si="31"/>
        <v>0</v>
      </c>
      <c r="X167" s="971">
        <f t="shared" si="32"/>
        <v>0</v>
      </c>
      <c r="Y167" s="254"/>
      <c r="Z167" s="971">
        <f t="shared" si="33"/>
        <v>0</v>
      </c>
      <c r="AA167" s="254"/>
      <c r="AB167" s="971"/>
    </row>
    <row r="168" spans="2:28" ht="21">
      <c r="B168" s="788"/>
      <c r="C168" s="14" t="s">
        <v>283</v>
      </c>
      <c r="D168" s="48" t="s">
        <v>284</v>
      </c>
      <c r="E168" s="16" t="s">
        <v>22</v>
      </c>
      <c r="F168" s="22">
        <v>8120.7119999999995</v>
      </c>
      <c r="G168" s="22">
        <v>10192.7772</v>
      </c>
      <c r="H168" s="22">
        <v>7795.0615399999988</v>
      </c>
      <c r="I168" s="22">
        <v>10857.974400000003</v>
      </c>
      <c r="J168" s="22">
        <v>8025.7953615839997</v>
      </c>
      <c r="K168" s="22">
        <v>2181.1771199999998</v>
      </c>
      <c r="L168" s="22">
        <v>8239.5322920629806</v>
      </c>
      <c r="M168" s="22">
        <v>2635.0991669099999</v>
      </c>
      <c r="N168" s="22">
        <f>'Админ. расх.'!AF49</f>
        <v>8.7775989999999986</v>
      </c>
      <c r="O168" s="765">
        <f t="shared" si="23"/>
        <v>-8230.7546930629815</v>
      </c>
      <c r="P168" s="22">
        <v>2336.4769309440003</v>
      </c>
      <c r="Q168" s="23">
        <v>2336.4769309440003</v>
      </c>
      <c r="R168" s="22">
        <f>'Админ. расх.'!AI49</f>
        <v>2336.48</v>
      </c>
      <c r="S168" s="768">
        <f>2280.162+22.27</f>
        <v>2302.4319999999998</v>
      </c>
      <c r="T168" s="254">
        <f>'Админ. расх.'!AU49</f>
        <v>2490.3104512</v>
      </c>
      <c r="U168" s="22">
        <f t="shared" si="29"/>
        <v>2406.1039434861318</v>
      </c>
      <c r="V168" s="971">
        <f>'расшифровки ВС'!O300</f>
        <v>2394.5292799999997</v>
      </c>
      <c r="W168" s="254">
        <f>'расшифровки ВС'!Q300</f>
        <v>2490.3104512</v>
      </c>
      <c r="X168" s="971">
        <f t="shared" si="32"/>
        <v>2463.0230992888314</v>
      </c>
      <c r="Y168" s="254">
        <f>'расшифровки ВС'!S300</f>
        <v>2589.9228692480001</v>
      </c>
      <c r="Z168" s="971">
        <f>X168*$Z$2</f>
        <v>2607.2035612599921</v>
      </c>
      <c r="AA168" s="254">
        <f>'расшифровки ВС'!U300</f>
        <v>2693.5197840179203</v>
      </c>
      <c r="AB168" s="971"/>
    </row>
    <row r="169" spans="2:28" ht="31.5">
      <c r="B169" s="792" t="s">
        <v>171</v>
      </c>
      <c r="C169" s="49">
        <v>4</v>
      </c>
      <c r="D169" s="737" t="s">
        <v>285</v>
      </c>
      <c r="E169" s="16" t="s">
        <v>22</v>
      </c>
      <c r="F169" s="22">
        <v>7440.55</v>
      </c>
      <c r="G169" s="22">
        <v>8368.32</v>
      </c>
      <c r="H169" s="22">
        <v>7824.92</v>
      </c>
      <c r="I169" s="22">
        <v>8177</v>
      </c>
      <c r="J169" s="22">
        <v>8177</v>
      </c>
      <c r="K169" s="22">
        <v>1147.2578540995905</v>
      </c>
      <c r="L169" s="22">
        <v>8979.2000000000007</v>
      </c>
      <c r="M169" s="22">
        <v>1147.2578540995905</v>
      </c>
      <c r="N169" s="22">
        <f>N170</f>
        <v>8687.5647300000001</v>
      </c>
      <c r="O169" s="765">
        <f t="shared" si="23"/>
        <v>-291.63527000000067</v>
      </c>
      <c r="P169" s="22">
        <v>1193.1481682635742</v>
      </c>
      <c r="Q169" s="23">
        <v>1193.1481682635742</v>
      </c>
      <c r="R169" s="22">
        <f>R170</f>
        <v>8687.5647300000001</v>
      </c>
      <c r="S169" s="768">
        <f>S170</f>
        <v>8088.3230241000001</v>
      </c>
      <c r="T169" s="254">
        <v>1193.1481682635742</v>
      </c>
      <c r="U169" s="22">
        <f>U170</f>
        <v>1216.0618032887669</v>
      </c>
      <c r="V169" s="971">
        <f>V170</f>
        <v>8088.3230241000001</v>
      </c>
      <c r="W169" s="254">
        <v>1193.1481682635742</v>
      </c>
      <c r="X169" s="971">
        <f>X170</f>
        <v>1216.0618032887669</v>
      </c>
      <c r="Y169" s="254">
        <v>1193.1481682635742</v>
      </c>
      <c r="Z169" s="971">
        <v>296.38</v>
      </c>
      <c r="AA169" s="254">
        <v>1193.1481682635742</v>
      </c>
      <c r="AB169" s="971">
        <f>AB170</f>
        <v>1216.0618032887669</v>
      </c>
    </row>
    <row r="170" spans="2:28" ht="31.5">
      <c r="B170" s="788"/>
      <c r="C170" s="14" t="s">
        <v>286</v>
      </c>
      <c r="D170" s="59" t="s">
        <v>287</v>
      </c>
      <c r="E170" s="16" t="s">
        <v>22</v>
      </c>
      <c r="F170" s="22">
        <v>7440.55</v>
      </c>
      <c r="G170" s="22">
        <v>8368.32</v>
      </c>
      <c r="H170" s="22">
        <v>7824.92</v>
      </c>
      <c r="I170" s="22">
        <v>8177</v>
      </c>
      <c r="J170" s="22">
        <v>8177</v>
      </c>
      <c r="K170" s="22">
        <v>1147.2578540995905</v>
      </c>
      <c r="L170" s="22">
        <v>8979.2000000000007</v>
      </c>
      <c r="M170" s="22">
        <v>1147.2578540995905</v>
      </c>
      <c r="N170" s="22">
        <f>'[9]сбытовые расходы'!P9/1000</f>
        <v>8687.5647300000001</v>
      </c>
      <c r="O170" s="765">
        <f t="shared" si="23"/>
        <v>-291.63527000000067</v>
      </c>
      <c r="P170" s="22">
        <v>1193.1481682635742</v>
      </c>
      <c r="Q170" s="23">
        <v>1193.1481682635742</v>
      </c>
      <c r="R170" s="22">
        <f>N170</f>
        <v>8687.5647300000001</v>
      </c>
      <c r="S170" s="768">
        <f>'[9]сбытовые расходы'!R9/1000</f>
        <v>8088.3230241000001</v>
      </c>
      <c r="T170" s="254">
        <v>1193.1481682635742</v>
      </c>
      <c r="U170" s="22">
        <f>Q170*V3</f>
        <v>1216.0618032887669</v>
      </c>
      <c r="V170" s="971">
        <f>S170</f>
        <v>8088.3230241000001</v>
      </c>
      <c r="W170" s="254">
        <f>V170</f>
        <v>8088.3230241000001</v>
      </c>
      <c r="X170" s="971">
        <f>U170</f>
        <v>1216.0618032887669</v>
      </c>
      <c r="Y170" s="254">
        <f>W170</f>
        <v>8088.3230241000001</v>
      </c>
      <c r="Z170" s="971">
        <f>X170</f>
        <v>1216.0618032887669</v>
      </c>
      <c r="AA170" s="254">
        <f>Y170</f>
        <v>8088.3230241000001</v>
      </c>
      <c r="AB170" s="971">
        <f>Z170</f>
        <v>1216.0618032887669</v>
      </c>
    </row>
    <row r="171" spans="2:28">
      <c r="B171" s="793" t="s">
        <v>288</v>
      </c>
      <c r="C171" s="49">
        <v>5</v>
      </c>
      <c r="D171" s="49" t="s">
        <v>289</v>
      </c>
      <c r="E171" s="16" t="s">
        <v>22</v>
      </c>
      <c r="F171" s="22">
        <v>34140.699999999997</v>
      </c>
      <c r="G171" s="22">
        <v>51827.579999999994</v>
      </c>
      <c r="H171" s="22">
        <v>49381.31</v>
      </c>
      <c r="I171" s="22">
        <v>66414.78</v>
      </c>
      <c r="J171" s="22">
        <v>103295.09999999999</v>
      </c>
      <c r="K171" s="22">
        <v>91513.718400000012</v>
      </c>
      <c r="L171" s="22">
        <v>119471.34</v>
      </c>
      <c r="M171" s="22">
        <v>92575.848799999992</v>
      </c>
      <c r="N171" s="22">
        <f>N172</f>
        <v>88365.23</v>
      </c>
      <c r="O171" s="765">
        <f t="shared" si="23"/>
        <v>-31106.11</v>
      </c>
      <c r="P171" s="22">
        <v>104320.75839999999</v>
      </c>
      <c r="Q171" s="23">
        <v>96694.68</v>
      </c>
      <c r="R171" s="22">
        <f t="shared" ref="R171:X171" si="34">R172</f>
        <v>119107.33</v>
      </c>
      <c r="S171" s="768">
        <f t="shared" si="34"/>
        <v>125823.81</v>
      </c>
      <c r="T171" s="254">
        <f t="shared" si="34"/>
        <v>137577.09</v>
      </c>
      <c r="U171" s="22">
        <f t="shared" si="34"/>
        <v>96694.68</v>
      </c>
      <c r="V171" s="971">
        <f t="shared" si="34"/>
        <v>137577.09</v>
      </c>
      <c r="W171" s="254">
        <f t="shared" si="34"/>
        <v>140121.85999999999</v>
      </c>
      <c r="X171" s="971">
        <f t="shared" si="34"/>
        <v>96694.68</v>
      </c>
      <c r="Y171" s="254">
        <f>Y172</f>
        <v>143345.66</v>
      </c>
      <c r="Z171" s="971">
        <v>52294.47</v>
      </c>
      <c r="AA171" s="254">
        <f>AA172</f>
        <v>145553.16999999998</v>
      </c>
      <c r="AB171" s="1121">
        <f>AB172</f>
        <v>0</v>
      </c>
    </row>
    <row r="172" spans="2:28" ht="63">
      <c r="B172" s="788"/>
      <c r="C172" s="14" t="s">
        <v>290</v>
      </c>
      <c r="D172" s="59" t="s">
        <v>291</v>
      </c>
      <c r="E172" s="16" t="s">
        <v>22</v>
      </c>
      <c r="F172" s="22">
        <v>34140.699999999997</v>
      </c>
      <c r="G172" s="22">
        <v>51827.579999999994</v>
      </c>
      <c r="H172" s="22">
        <v>49381.31</v>
      </c>
      <c r="I172" s="22">
        <v>66414.78</v>
      </c>
      <c r="J172" s="22">
        <v>103295.09999999999</v>
      </c>
      <c r="K172" s="22">
        <v>91513.718400000012</v>
      </c>
      <c r="L172" s="22">
        <v>119471.34</v>
      </c>
      <c r="M172" s="22">
        <v>92575.848799999992</v>
      </c>
      <c r="N172" s="22">
        <v>88365.23</v>
      </c>
      <c r="O172" s="765">
        <f t="shared" si="23"/>
        <v>-31106.11</v>
      </c>
      <c r="P172" s="22">
        <v>104320.75839999999</v>
      </c>
      <c r="Q172" s="23">
        <v>96694.68</v>
      </c>
      <c r="R172" s="22">
        <v>119107.33</v>
      </c>
      <c r="S172" s="768">
        <f>'расшифровки ВС'!M396</f>
        <v>125823.81</v>
      </c>
      <c r="T172" s="254">
        <f>'расшифровки ВС'!O396</f>
        <v>137577.09</v>
      </c>
      <c r="U172" s="22">
        <v>96694.68</v>
      </c>
      <c r="V172" s="977">
        <f>'расшифровки ВС'!O396</f>
        <v>137577.09</v>
      </c>
      <c r="W172" s="254">
        <f>'расшифровки ВС'!Q396</f>
        <v>140121.85999999999</v>
      </c>
      <c r="X172" s="971">
        <v>96694.68</v>
      </c>
      <c r="Y172" s="254">
        <f>'расшифровки ВС'!S396</f>
        <v>143345.66</v>
      </c>
      <c r="Z172" s="971">
        <v>52294.47</v>
      </c>
      <c r="AA172" s="254">
        <f>'расшифровки ВС'!U396</f>
        <v>145553.16999999998</v>
      </c>
      <c r="AB172" s="971">
        <v>0</v>
      </c>
    </row>
    <row r="173" spans="2:28" ht="65.45" hidden="1" customHeight="1">
      <c r="B173" s="792" t="s">
        <v>171</v>
      </c>
      <c r="C173" s="49">
        <v>6</v>
      </c>
      <c r="D173" s="49" t="s">
        <v>292</v>
      </c>
      <c r="E173" s="16" t="s">
        <v>22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/>
      <c r="O173" s="765">
        <f t="shared" si="23"/>
        <v>0</v>
      </c>
      <c r="P173" s="17">
        <v>0</v>
      </c>
      <c r="Q173" s="18">
        <v>0</v>
      </c>
      <c r="R173" s="18"/>
      <c r="S173" s="813"/>
      <c r="T173" s="1101">
        <v>0</v>
      </c>
      <c r="U173" s="17">
        <v>0</v>
      </c>
      <c r="V173" s="970"/>
      <c r="W173" s="1101">
        <v>0</v>
      </c>
      <c r="X173" s="970">
        <v>0</v>
      </c>
      <c r="Y173" s="1101">
        <v>0</v>
      </c>
      <c r="Z173" s="971">
        <f t="shared" si="33"/>
        <v>0</v>
      </c>
      <c r="AA173" s="1101">
        <v>0</v>
      </c>
      <c r="AB173" s="970">
        <v>0</v>
      </c>
    </row>
    <row r="174" spans="2:28" hidden="1">
      <c r="B174" s="788"/>
      <c r="C174" s="14" t="s">
        <v>293</v>
      </c>
      <c r="D174" s="15" t="s">
        <v>294</v>
      </c>
      <c r="E174" s="16" t="s">
        <v>22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/>
      <c r="O174" s="765">
        <f t="shared" si="23"/>
        <v>0</v>
      </c>
      <c r="P174" s="17">
        <v>0</v>
      </c>
      <c r="Q174" s="18">
        <v>0</v>
      </c>
      <c r="R174" s="18"/>
      <c r="S174" s="813"/>
      <c r="T174" s="1101">
        <v>0</v>
      </c>
      <c r="U174" s="17">
        <v>0</v>
      </c>
      <c r="V174" s="970"/>
      <c r="W174" s="1101">
        <v>0</v>
      </c>
      <c r="X174" s="970">
        <v>0</v>
      </c>
      <c r="Y174" s="1101">
        <v>0</v>
      </c>
      <c r="Z174" s="971">
        <f t="shared" si="33"/>
        <v>0</v>
      </c>
      <c r="AA174" s="1101">
        <v>0</v>
      </c>
      <c r="AB174" s="970">
        <v>0</v>
      </c>
    </row>
    <row r="175" spans="2:28" ht="31.5" hidden="1">
      <c r="B175" s="788"/>
      <c r="C175" s="14" t="s">
        <v>295</v>
      </c>
      <c r="D175" s="48" t="s">
        <v>296</v>
      </c>
      <c r="E175" s="16" t="s">
        <v>22</v>
      </c>
      <c r="F175" s="22">
        <v>0</v>
      </c>
      <c r="G175" s="22">
        <v>0</v>
      </c>
      <c r="H175" s="22"/>
      <c r="I175" s="22"/>
      <c r="J175" s="22"/>
      <c r="K175" s="22"/>
      <c r="L175" s="22"/>
      <c r="M175" s="22"/>
      <c r="N175" s="22"/>
      <c r="O175" s="765">
        <f t="shared" si="23"/>
        <v>0</v>
      </c>
      <c r="P175" s="22"/>
      <c r="Q175" s="23"/>
      <c r="R175" s="23"/>
      <c r="S175" s="810"/>
      <c r="T175" s="254"/>
      <c r="U175" s="22"/>
      <c r="V175" s="971"/>
      <c r="W175" s="254"/>
      <c r="X175" s="971"/>
      <c r="Y175" s="254"/>
      <c r="Z175" s="971">
        <f t="shared" si="33"/>
        <v>0</v>
      </c>
      <c r="AA175" s="254"/>
      <c r="AB175" s="971"/>
    </row>
    <row r="176" spans="2:28" ht="31.5" hidden="1">
      <c r="B176" s="788"/>
      <c r="C176" s="14" t="s">
        <v>297</v>
      </c>
      <c r="D176" s="48" t="s">
        <v>298</v>
      </c>
      <c r="E176" s="16" t="s">
        <v>22</v>
      </c>
      <c r="F176" s="22">
        <v>0</v>
      </c>
      <c r="G176" s="22">
        <v>0</v>
      </c>
      <c r="H176" s="22"/>
      <c r="I176" s="22"/>
      <c r="J176" s="22"/>
      <c r="K176" s="22"/>
      <c r="L176" s="22"/>
      <c r="M176" s="22"/>
      <c r="N176" s="22"/>
      <c r="O176" s="765">
        <f t="shared" si="23"/>
        <v>0</v>
      </c>
      <c r="P176" s="22"/>
      <c r="Q176" s="23"/>
      <c r="R176" s="23"/>
      <c r="S176" s="810"/>
      <c r="T176" s="254"/>
      <c r="U176" s="22"/>
      <c r="V176" s="971"/>
      <c r="W176" s="254"/>
      <c r="X176" s="971"/>
      <c r="Y176" s="254"/>
      <c r="Z176" s="971">
        <f t="shared" si="33"/>
        <v>0</v>
      </c>
      <c r="AA176" s="254"/>
      <c r="AB176" s="971"/>
    </row>
    <row r="177" spans="2:30" hidden="1">
      <c r="B177" s="788"/>
      <c r="C177" s="14" t="s">
        <v>299</v>
      </c>
      <c r="D177" s="48" t="s">
        <v>300</v>
      </c>
      <c r="E177" s="16" t="s">
        <v>22</v>
      </c>
      <c r="F177" s="22">
        <v>0</v>
      </c>
      <c r="G177" s="22">
        <v>0</v>
      </c>
      <c r="H177" s="22"/>
      <c r="I177" s="22"/>
      <c r="J177" s="22"/>
      <c r="K177" s="22"/>
      <c r="L177" s="22"/>
      <c r="M177" s="22"/>
      <c r="N177" s="22"/>
      <c r="O177" s="765">
        <f t="shared" si="23"/>
        <v>0</v>
      </c>
      <c r="P177" s="22"/>
      <c r="Q177" s="23"/>
      <c r="R177" s="23"/>
      <c r="S177" s="810"/>
      <c r="T177" s="254"/>
      <c r="U177" s="22"/>
      <c r="V177" s="971"/>
      <c r="W177" s="254"/>
      <c r="X177" s="971"/>
      <c r="Y177" s="254"/>
      <c r="Z177" s="971">
        <f t="shared" si="33"/>
        <v>0</v>
      </c>
      <c r="AA177" s="254"/>
      <c r="AB177" s="971"/>
    </row>
    <row r="178" spans="2:30" hidden="1">
      <c r="B178" s="788"/>
      <c r="C178" s="14" t="s">
        <v>301</v>
      </c>
      <c r="D178" s="15" t="s">
        <v>302</v>
      </c>
      <c r="E178" s="16" t="s">
        <v>22</v>
      </c>
      <c r="F178" s="22">
        <v>0</v>
      </c>
      <c r="G178" s="22">
        <v>0</v>
      </c>
      <c r="H178" s="22"/>
      <c r="I178" s="22"/>
      <c r="J178" s="22"/>
      <c r="K178" s="22"/>
      <c r="L178" s="22"/>
      <c r="M178" s="22"/>
      <c r="N178" s="22"/>
      <c r="O178" s="765">
        <f t="shared" si="23"/>
        <v>0</v>
      </c>
      <c r="P178" s="22"/>
      <c r="Q178" s="23"/>
      <c r="R178" s="23"/>
      <c r="S178" s="810"/>
      <c r="T178" s="254"/>
      <c r="U178" s="22"/>
      <c r="V178" s="971"/>
      <c r="W178" s="254"/>
      <c r="X178" s="971"/>
      <c r="Y178" s="254"/>
      <c r="Z178" s="971">
        <f t="shared" si="33"/>
        <v>0</v>
      </c>
      <c r="AA178" s="254"/>
      <c r="AB178" s="971"/>
    </row>
    <row r="179" spans="2:30" hidden="1">
      <c r="B179" s="788"/>
      <c r="C179" s="14" t="s">
        <v>303</v>
      </c>
      <c r="D179" s="15" t="s">
        <v>304</v>
      </c>
      <c r="E179" s="16" t="s">
        <v>22</v>
      </c>
      <c r="F179" s="22">
        <v>0</v>
      </c>
      <c r="G179" s="22">
        <v>0</v>
      </c>
      <c r="H179" s="22"/>
      <c r="I179" s="22"/>
      <c r="J179" s="22"/>
      <c r="K179" s="22"/>
      <c r="L179" s="22"/>
      <c r="M179" s="22"/>
      <c r="N179" s="22"/>
      <c r="O179" s="765">
        <f t="shared" si="23"/>
        <v>0</v>
      </c>
      <c r="P179" s="22"/>
      <c r="Q179" s="23"/>
      <c r="R179" s="23"/>
      <c r="S179" s="810"/>
      <c r="T179" s="254"/>
      <c r="U179" s="22"/>
      <c r="V179" s="971"/>
      <c r="W179" s="254"/>
      <c r="X179" s="971"/>
      <c r="Y179" s="254"/>
      <c r="Z179" s="971">
        <f t="shared" si="33"/>
        <v>0</v>
      </c>
      <c r="AA179" s="254"/>
      <c r="AB179" s="971"/>
    </row>
    <row r="180" spans="2:30" ht="21" hidden="1">
      <c r="B180" s="788"/>
      <c r="C180" s="14" t="s">
        <v>305</v>
      </c>
      <c r="D180" s="15" t="s">
        <v>306</v>
      </c>
      <c r="E180" s="16" t="s">
        <v>22</v>
      </c>
      <c r="F180" s="22">
        <v>0</v>
      </c>
      <c r="G180" s="22">
        <v>0</v>
      </c>
      <c r="H180" s="22"/>
      <c r="I180" s="22"/>
      <c r="J180" s="22"/>
      <c r="K180" s="22"/>
      <c r="L180" s="22"/>
      <c r="M180" s="22"/>
      <c r="N180" s="22"/>
      <c r="O180" s="765">
        <f t="shared" si="23"/>
        <v>0</v>
      </c>
      <c r="P180" s="22"/>
      <c r="Q180" s="23"/>
      <c r="R180" s="23"/>
      <c r="S180" s="810"/>
      <c r="T180" s="254"/>
      <c r="U180" s="22"/>
      <c r="V180" s="971"/>
      <c r="W180" s="254"/>
      <c r="X180" s="971"/>
      <c r="Y180" s="254"/>
      <c r="Z180" s="971">
        <f t="shared" si="33"/>
        <v>0</v>
      </c>
      <c r="AA180" s="254"/>
      <c r="AB180" s="971"/>
    </row>
    <row r="181" spans="2:30" hidden="1">
      <c r="B181" s="788"/>
      <c r="C181" s="14" t="s">
        <v>307</v>
      </c>
      <c r="D181" s="15" t="s">
        <v>308</v>
      </c>
      <c r="E181" s="16" t="s">
        <v>22</v>
      </c>
      <c r="F181" s="22">
        <v>0</v>
      </c>
      <c r="G181" s="22">
        <v>0</v>
      </c>
      <c r="H181" s="22"/>
      <c r="I181" s="22"/>
      <c r="J181" s="22"/>
      <c r="K181" s="22"/>
      <c r="L181" s="22"/>
      <c r="M181" s="22"/>
      <c r="N181" s="22"/>
      <c r="O181" s="765">
        <f t="shared" si="23"/>
        <v>0</v>
      </c>
      <c r="P181" s="22"/>
      <c r="Q181" s="23"/>
      <c r="R181" s="23"/>
      <c r="S181" s="810"/>
      <c r="T181" s="254"/>
      <c r="U181" s="22"/>
      <c r="V181" s="971"/>
      <c r="W181" s="254"/>
      <c r="X181" s="971"/>
      <c r="Y181" s="254"/>
      <c r="Z181" s="971">
        <f t="shared" si="33"/>
        <v>0</v>
      </c>
      <c r="AA181" s="254"/>
      <c r="AB181" s="971"/>
    </row>
    <row r="182" spans="2:30" ht="94.5">
      <c r="B182" s="792" t="s">
        <v>171</v>
      </c>
      <c r="C182" s="49">
        <v>7</v>
      </c>
      <c r="D182" s="737" t="s">
        <v>309</v>
      </c>
      <c r="E182" s="16" t="s">
        <v>22</v>
      </c>
      <c r="F182" s="17">
        <v>21952.579999999998</v>
      </c>
      <c r="G182" s="17">
        <v>24227.55</v>
      </c>
      <c r="H182" s="17">
        <v>28658.080000000002</v>
      </c>
      <c r="I182" s="17">
        <v>53390.670000000006</v>
      </c>
      <c r="J182" s="17">
        <v>59033.439999999995</v>
      </c>
      <c r="K182" s="17">
        <v>44158.894245704076</v>
      </c>
      <c r="L182" s="17">
        <v>54080.03</v>
      </c>
      <c r="M182" s="17">
        <v>43940.839811368489</v>
      </c>
      <c r="N182" s="17">
        <f>SUM(N183:N188)</f>
        <v>52541.061170535999</v>
      </c>
      <c r="O182" s="765">
        <f t="shared" si="23"/>
        <v>-1538.968829464</v>
      </c>
      <c r="P182" s="17">
        <f>SUM(P183:P188)</f>
        <v>48358.910800946913</v>
      </c>
      <c r="Q182" s="18">
        <v>63097.638854756129</v>
      </c>
      <c r="R182" s="17">
        <f>SUM(R183:R188)</f>
        <v>60834.054298335999</v>
      </c>
      <c r="S182" s="770">
        <f>SUM(S183:S188)</f>
        <v>65589.488999999987</v>
      </c>
      <c r="T182" s="1101">
        <f>SUM(T183:T188)</f>
        <v>69127.039676136003</v>
      </c>
      <c r="U182" s="17">
        <f>Q182*V3</f>
        <v>64309.387995496472</v>
      </c>
      <c r="V182" s="970">
        <f>SUM(V183:V188)</f>
        <v>84988.30233561038</v>
      </c>
      <c r="W182" s="1101">
        <f>SUM(W183:W188)</f>
        <v>87191.284986146391</v>
      </c>
      <c r="X182" s="970">
        <f>SUM(X183:X188)</f>
        <v>78843.255000000005</v>
      </c>
      <c r="Y182" s="1101">
        <f>SUM(Y183:Y188)</f>
        <v>83850.824986146385</v>
      </c>
      <c r="Z182" s="970">
        <f>SUM(Z183:Z188)-49.5</f>
        <v>88995.87</v>
      </c>
      <c r="AA182" s="1101">
        <f>SUM(AA183:AA188)</f>
        <v>83850.824986146385</v>
      </c>
      <c r="AB182" s="970">
        <v>0</v>
      </c>
      <c r="AD182" s="134">
        <f>U10-V10+U16-V16+U171-V171+U184-V184</f>
        <v>-105896.29746115071</v>
      </c>
    </row>
    <row r="183" spans="2:30">
      <c r="B183" s="788"/>
      <c r="C183" s="14" t="s">
        <v>310</v>
      </c>
      <c r="D183" s="59" t="s">
        <v>311</v>
      </c>
      <c r="E183" s="16" t="s">
        <v>22</v>
      </c>
      <c r="F183" s="61">
        <v>4223.6000000000004</v>
      </c>
      <c r="G183" s="22">
        <v>0</v>
      </c>
      <c r="H183" s="22">
        <v>2876.2</v>
      </c>
      <c r="I183" s="22">
        <v>6042.5</v>
      </c>
      <c r="J183" s="22">
        <v>950.2</v>
      </c>
      <c r="K183" s="22"/>
      <c r="L183" s="22">
        <v>688.75</v>
      </c>
      <c r="M183" s="22"/>
      <c r="N183" s="22"/>
      <c r="O183" s="765">
        <f t="shared" si="23"/>
        <v>-688.75</v>
      </c>
      <c r="P183" s="61">
        <v>0</v>
      </c>
      <c r="Q183" s="23">
        <v>467.01782400000013</v>
      </c>
      <c r="R183" s="23"/>
      <c r="S183" s="810"/>
      <c r="T183" s="254">
        <v>0</v>
      </c>
      <c r="U183" s="22">
        <f t="shared" ref="U183:U188" si="35">Q183*$V$3</f>
        <v>475.98659774833459</v>
      </c>
      <c r="V183" s="971">
        <v>0</v>
      </c>
      <c r="W183" s="254">
        <v>0</v>
      </c>
      <c r="X183" s="971">
        <v>0</v>
      </c>
      <c r="Y183" s="254">
        <v>0</v>
      </c>
      <c r="Z183" s="971">
        <v>0</v>
      </c>
      <c r="AA183" s="254">
        <v>0</v>
      </c>
      <c r="AB183" s="971">
        <v>0</v>
      </c>
    </row>
    <row r="184" spans="2:30" ht="21">
      <c r="B184" s="788"/>
      <c r="C184" s="14" t="s">
        <v>312</v>
      </c>
      <c r="D184" s="59" t="s">
        <v>313</v>
      </c>
      <c r="E184" s="16" t="s">
        <v>22</v>
      </c>
      <c r="F184" s="22">
        <v>12436</v>
      </c>
      <c r="G184" s="22">
        <v>11887.67</v>
      </c>
      <c r="H184" s="22">
        <v>10913.16</v>
      </c>
      <c r="I184" s="22">
        <v>34529.94</v>
      </c>
      <c r="J184" s="22">
        <v>37560.9</v>
      </c>
      <c r="K184" s="22">
        <v>30147.85011570407</v>
      </c>
      <c r="L184" s="22">
        <v>37560.9</v>
      </c>
      <c r="M184" s="22">
        <v>30921.542166568481</v>
      </c>
      <c r="N184" s="22">
        <v>36893.94</v>
      </c>
      <c r="O184" s="765">
        <f t="shared" si="23"/>
        <v>-666.95999999999913</v>
      </c>
      <c r="P184" s="22">
        <v>32467.619274896904</v>
      </c>
      <c r="Q184" s="23">
        <v>47091.98</v>
      </c>
      <c r="R184" s="22">
        <f>'налог на имущество 2018-2023'!J3/1000</f>
        <v>45186.933127800003</v>
      </c>
      <c r="S184" s="768">
        <v>48077.502999999997</v>
      </c>
      <c r="T184" s="254">
        <f>'налог на имущество 2018-2023'!K3/1000</f>
        <v>53479.916505599998</v>
      </c>
      <c r="U184" s="22">
        <f t="shared" si="35"/>
        <v>47996.350866113011</v>
      </c>
      <c r="V184" s="971">
        <f>'налог на имущество 2021'!M3/1000</f>
        <v>62348.030535610378</v>
      </c>
      <c r="W184" s="1119">
        <f>'налог на имущество 2021'!N3/1000</f>
        <v>62348.030535610378</v>
      </c>
      <c r="X184" s="971">
        <v>54000</v>
      </c>
      <c r="Y184" s="254">
        <f>'налог на имущество 2021'!O3/1000</f>
        <v>62348.030535610378</v>
      </c>
      <c r="Z184" s="971">
        <v>60656.17</v>
      </c>
      <c r="AA184" s="254">
        <f>'налог на имущество 2021'!P3/1000</f>
        <v>62348.030535610378</v>
      </c>
      <c r="AB184" s="971">
        <f>Z184</f>
        <v>60656.17</v>
      </c>
    </row>
    <row r="185" spans="2:30" ht="31.5">
      <c r="B185" s="788"/>
      <c r="C185" s="14" t="s">
        <v>314</v>
      </c>
      <c r="D185" s="59" t="s">
        <v>315</v>
      </c>
      <c r="E185" s="16" t="s">
        <v>22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f>негативка!K8/1000</f>
        <v>71.111170536000003</v>
      </c>
      <c r="O185" s="765">
        <f t="shared" si="23"/>
        <v>71.111170536000003</v>
      </c>
      <c r="P185" s="22">
        <v>0</v>
      </c>
      <c r="Q185" s="23">
        <v>0</v>
      </c>
      <c r="R185" s="22">
        <f>N185</f>
        <v>71.111170536000003</v>
      </c>
      <c r="S185" s="768">
        <f>42.187</f>
        <v>42.186999999999998</v>
      </c>
      <c r="T185" s="254">
        <f>R185</f>
        <v>71.111170536000003</v>
      </c>
      <c r="U185" s="22">
        <f t="shared" si="35"/>
        <v>0</v>
      </c>
      <c r="V185" s="971">
        <f>S185</f>
        <v>42.186999999999998</v>
      </c>
      <c r="W185" s="254">
        <f>T185</f>
        <v>71.111170536000003</v>
      </c>
      <c r="X185" s="254">
        <v>71.11</v>
      </c>
      <c r="Y185" s="254">
        <f>W185</f>
        <v>71.111170536000003</v>
      </c>
      <c r="Z185" s="971">
        <v>32.42</v>
      </c>
      <c r="AA185" s="254">
        <f>Y185</f>
        <v>71.111170536000003</v>
      </c>
      <c r="AB185" s="971">
        <v>0</v>
      </c>
    </row>
    <row r="186" spans="2:30" ht="31.5">
      <c r="B186" s="788"/>
      <c r="C186" s="14" t="s">
        <v>316</v>
      </c>
      <c r="D186" s="59" t="s">
        <v>317</v>
      </c>
      <c r="E186" s="16" t="s">
        <v>22</v>
      </c>
      <c r="F186" s="22">
        <v>4281.99</v>
      </c>
      <c r="G186" s="22">
        <v>8181.1</v>
      </c>
      <c r="H186" s="22">
        <v>8691.59</v>
      </c>
      <c r="I186" s="22">
        <v>8354.5499999999993</v>
      </c>
      <c r="J186" s="22">
        <v>9800.7199999999993</v>
      </c>
      <c r="K186" s="22">
        <v>9281.3833799999993</v>
      </c>
      <c r="L186" s="22">
        <v>11366.699999999999</v>
      </c>
      <c r="M186" s="22">
        <v>8272.8412137999985</v>
      </c>
      <c r="N186" s="22">
        <f>2751.3+7771.618</f>
        <v>10522.918000000001</v>
      </c>
      <c r="O186" s="765">
        <f t="shared" si="23"/>
        <v>-843.78199999999742</v>
      </c>
      <c r="P186" s="22">
        <v>11127.199629999999</v>
      </c>
      <c r="Q186" s="23">
        <v>10774.549134706114</v>
      </c>
      <c r="R186" s="22">
        <f>N186</f>
        <v>10522.918000000001</v>
      </c>
      <c r="S186" s="768">
        <f>2888.439+9478.774</f>
        <v>12367.213</v>
      </c>
      <c r="T186" s="254">
        <v>10522.92</v>
      </c>
      <c r="U186" s="22">
        <f t="shared" si="35"/>
        <v>10981.467347381209</v>
      </c>
      <c r="V186" s="971">
        <f>3190.8+10888.9</f>
        <v>14079.7</v>
      </c>
      <c r="W186" s="254">
        <f>V186*1.15</f>
        <v>16191.654999999999</v>
      </c>
      <c r="X186" s="254">
        <f>W186</f>
        <v>16191.654999999999</v>
      </c>
      <c r="Y186" s="254">
        <f>W186</f>
        <v>16191.654999999999</v>
      </c>
      <c r="Z186" s="971">
        <f>4751.29+17150.09</f>
        <v>21901.38</v>
      </c>
      <c r="AA186" s="254">
        <f>Y186</f>
        <v>16191.654999999999</v>
      </c>
      <c r="AB186" s="971">
        <v>0</v>
      </c>
      <c r="AD186" s="134"/>
    </row>
    <row r="187" spans="2:30" ht="21">
      <c r="B187" s="788"/>
      <c r="C187" s="14" t="s">
        <v>318</v>
      </c>
      <c r="D187" s="59" t="s">
        <v>319</v>
      </c>
      <c r="E187" s="16" t="s">
        <v>22</v>
      </c>
      <c r="F187" s="22">
        <v>702</v>
      </c>
      <c r="G187" s="22">
        <v>3776.12</v>
      </c>
      <c r="H187" s="22">
        <v>5723.72</v>
      </c>
      <c r="I187" s="22">
        <v>3999.49</v>
      </c>
      <c r="J187" s="22">
        <v>6251.6</v>
      </c>
      <c r="K187" s="22">
        <v>4393.7471299999997</v>
      </c>
      <c r="L187" s="22">
        <v>3999.49</v>
      </c>
      <c r="M187" s="22">
        <v>4393.7471299999997</v>
      </c>
      <c r="N187" s="22">
        <v>4556.8900000000003</v>
      </c>
      <c r="O187" s="765">
        <f t="shared" si="23"/>
        <v>557.40000000000055</v>
      </c>
      <c r="P187" s="22">
        <v>4393.7471299999997</v>
      </c>
      <c r="Q187" s="23">
        <v>4393.7471299999997</v>
      </c>
      <c r="R187" s="22">
        <f>N187</f>
        <v>4556.8900000000003</v>
      </c>
      <c r="S187" s="768">
        <v>4585.0569999999998</v>
      </c>
      <c r="T187" s="254">
        <f>R187</f>
        <v>4556.8900000000003</v>
      </c>
      <c r="U187" s="22">
        <f t="shared" si="35"/>
        <v>4478.1261876960152</v>
      </c>
      <c r="V187" s="971">
        <f>8313*0.95</f>
        <v>7897.3499999999995</v>
      </c>
      <c r="W187" s="254">
        <f>V187</f>
        <v>7897.3499999999995</v>
      </c>
      <c r="X187" s="254">
        <f>W187</f>
        <v>7897.3499999999995</v>
      </c>
      <c r="Y187" s="254">
        <f>T187</f>
        <v>4556.8900000000003</v>
      </c>
      <c r="Z187" s="971">
        <v>6095.15</v>
      </c>
      <c r="AA187" s="254">
        <f>Y187</f>
        <v>4556.8900000000003</v>
      </c>
      <c r="AB187" s="971">
        <v>0</v>
      </c>
    </row>
    <row r="188" spans="2:30">
      <c r="B188" s="788"/>
      <c r="C188" s="14" t="s">
        <v>320</v>
      </c>
      <c r="D188" s="59" t="s">
        <v>321</v>
      </c>
      <c r="E188" s="16" t="s">
        <v>22</v>
      </c>
      <c r="F188" s="22">
        <v>308.99</v>
      </c>
      <c r="G188" s="22">
        <v>382.66</v>
      </c>
      <c r="H188" s="22">
        <v>453.41</v>
      </c>
      <c r="I188" s="22">
        <v>464.19</v>
      </c>
      <c r="J188" s="22">
        <v>457.96</v>
      </c>
      <c r="K188" s="22">
        <v>335.91361999999998</v>
      </c>
      <c r="L188" s="22">
        <v>464.19</v>
      </c>
      <c r="M188" s="22">
        <v>352.70930099999998</v>
      </c>
      <c r="N188" s="22">
        <v>496.202</v>
      </c>
      <c r="O188" s="765">
        <f t="shared" si="23"/>
        <v>32.012</v>
      </c>
      <c r="P188" s="22">
        <v>370.34476604999998</v>
      </c>
      <c r="Q188" s="23">
        <v>370.34476604999998</v>
      </c>
      <c r="R188" s="22">
        <f>N188</f>
        <v>496.202</v>
      </c>
      <c r="S188" s="768">
        <f>2.2+515.329</f>
        <v>517.529</v>
      </c>
      <c r="T188" s="254">
        <f>R188</f>
        <v>496.202</v>
      </c>
      <c r="U188" s="22">
        <f t="shared" si="35"/>
        <v>377.45699655789235</v>
      </c>
      <c r="V188" s="971">
        <f>S188*1.2</f>
        <v>621.03480000000002</v>
      </c>
      <c r="W188" s="254">
        <f>V188*1.1</f>
        <v>683.13828000000012</v>
      </c>
      <c r="X188" s="254">
        <v>683.14</v>
      </c>
      <c r="Y188" s="254">
        <f>W188</f>
        <v>683.13828000000012</v>
      </c>
      <c r="Z188" s="971">
        <v>360.25</v>
      </c>
      <c r="AA188" s="254">
        <f>Y188</f>
        <v>683.13828000000012</v>
      </c>
      <c r="AB188" s="971">
        <v>0</v>
      </c>
    </row>
    <row r="189" spans="2:30" ht="73.5" hidden="1">
      <c r="B189" s="788"/>
      <c r="C189" s="14" t="s">
        <v>322</v>
      </c>
      <c r="D189" s="59" t="s">
        <v>323</v>
      </c>
      <c r="E189" s="16" t="s">
        <v>22</v>
      </c>
      <c r="F189" s="22"/>
      <c r="G189" s="22"/>
      <c r="H189" s="22"/>
      <c r="I189" s="22"/>
      <c r="J189" s="22">
        <v>4012.06</v>
      </c>
      <c r="K189" s="22"/>
      <c r="L189" s="22"/>
      <c r="M189" s="22"/>
      <c r="N189" s="22"/>
      <c r="O189" s="765">
        <f t="shared" si="23"/>
        <v>0</v>
      </c>
      <c r="P189" s="22"/>
      <c r="Q189" s="23"/>
      <c r="R189" s="23"/>
      <c r="S189" s="810"/>
      <c r="T189" s="254"/>
      <c r="U189" s="22"/>
      <c r="V189" s="971"/>
      <c r="W189" s="254"/>
      <c r="X189" s="971"/>
      <c r="Y189" s="254"/>
      <c r="Z189" s="971"/>
      <c r="AA189" s="254"/>
      <c r="AB189" s="971"/>
    </row>
    <row r="190" spans="2:30" ht="73.5" hidden="1">
      <c r="B190" s="792" t="s">
        <v>171</v>
      </c>
      <c r="C190" s="49" t="s">
        <v>324</v>
      </c>
      <c r="D190" s="49" t="s">
        <v>325</v>
      </c>
      <c r="E190" s="16" t="s">
        <v>22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765">
        <f t="shared" si="23"/>
        <v>0</v>
      </c>
      <c r="P190" s="22"/>
      <c r="Q190" s="23"/>
      <c r="R190" s="23"/>
      <c r="S190" s="810"/>
      <c r="T190" s="254"/>
      <c r="U190" s="22"/>
      <c r="V190" s="971"/>
      <c r="W190" s="254"/>
      <c r="X190" s="971"/>
      <c r="Y190" s="254"/>
      <c r="Z190" s="971"/>
      <c r="AA190" s="254"/>
      <c r="AB190" s="971"/>
    </row>
    <row r="191" spans="2:30" ht="21" hidden="1">
      <c r="B191" s="792" t="s">
        <v>171</v>
      </c>
      <c r="C191" s="49" t="s">
        <v>326</v>
      </c>
      <c r="D191" s="49" t="s">
        <v>327</v>
      </c>
      <c r="E191" s="16" t="s">
        <v>22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765">
        <f t="shared" si="23"/>
        <v>0</v>
      </c>
      <c r="P191" s="22"/>
      <c r="Q191" s="23"/>
      <c r="R191" s="23"/>
      <c r="S191" s="810"/>
      <c r="T191" s="254"/>
      <c r="U191" s="22"/>
      <c r="V191" s="971"/>
      <c r="W191" s="254"/>
      <c r="X191" s="971"/>
      <c r="Y191" s="254"/>
      <c r="Z191" s="971"/>
      <c r="AA191" s="254"/>
      <c r="AB191" s="971"/>
    </row>
    <row r="192" spans="2:30" ht="31.5" hidden="1">
      <c r="B192" s="792" t="s">
        <v>171</v>
      </c>
      <c r="C192" s="49" t="s">
        <v>328</v>
      </c>
      <c r="D192" s="49" t="s">
        <v>329</v>
      </c>
      <c r="E192" s="16" t="s">
        <v>22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765">
        <f t="shared" si="23"/>
        <v>0</v>
      </c>
      <c r="P192" s="22"/>
      <c r="Q192" s="23"/>
      <c r="R192" s="23"/>
      <c r="S192" s="810"/>
      <c r="T192" s="254"/>
      <c r="U192" s="22"/>
      <c r="V192" s="971"/>
      <c r="W192" s="254"/>
      <c r="X192" s="971"/>
      <c r="Y192" s="254"/>
      <c r="Z192" s="971"/>
      <c r="AA192" s="254"/>
      <c r="AB192" s="971"/>
    </row>
    <row r="193" spans="2:32">
      <c r="B193" s="788"/>
      <c r="C193" s="62"/>
      <c r="D193" s="63"/>
      <c r="E193" s="64"/>
      <c r="F193" s="30"/>
      <c r="G193" s="30"/>
      <c r="H193" s="30"/>
      <c r="I193" s="30"/>
      <c r="J193" s="30"/>
      <c r="K193" s="30"/>
      <c r="L193" s="30"/>
      <c r="M193" s="30"/>
      <c r="N193" s="30"/>
      <c r="O193" s="765">
        <f t="shared" si="23"/>
        <v>0</v>
      </c>
      <c r="P193" s="30"/>
      <c r="Q193" s="31"/>
      <c r="R193" s="31"/>
      <c r="S193" s="812"/>
      <c r="T193" s="1103"/>
      <c r="U193" s="30"/>
      <c r="V193" s="973"/>
      <c r="W193" s="1103"/>
      <c r="X193" s="973"/>
      <c r="Y193" s="1103"/>
      <c r="Z193" s="973"/>
      <c r="AA193" s="1103"/>
      <c r="AB193" s="973"/>
    </row>
    <row r="194" spans="2:32" ht="20.25" customHeight="1">
      <c r="B194" s="788"/>
      <c r="C194" s="49" t="s">
        <v>330</v>
      </c>
      <c r="D194" s="65" t="s">
        <v>331</v>
      </c>
      <c r="E194" s="16" t="s">
        <v>22</v>
      </c>
      <c r="F194" s="66">
        <v>627645.14241421735</v>
      </c>
      <c r="G194" s="66">
        <v>657347.20747458597</v>
      </c>
      <c r="H194" s="66">
        <v>695123.38017382799</v>
      </c>
      <c r="I194" s="66">
        <v>792206.30736522493</v>
      </c>
      <c r="J194" s="66">
        <v>805977.90143857326</v>
      </c>
      <c r="K194" s="66">
        <v>775757.99051602662</v>
      </c>
      <c r="L194" s="66">
        <f>L8+L116+L134+L169+L171+L182</f>
        <v>827251.26062275376</v>
      </c>
      <c r="M194" s="66">
        <v>849003.75491104403</v>
      </c>
      <c r="N194" s="66">
        <f>N8+N116+N134+N169+N171+N182</f>
        <v>891540.06914244406</v>
      </c>
      <c r="O194" s="765">
        <f t="shared" si="23"/>
        <v>64288.808519690298</v>
      </c>
      <c r="P194" s="66">
        <f>P8+P116+P134+P169+P171+P182</f>
        <v>870913.96929813456</v>
      </c>
      <c r="Q194" s="18">
        <v>767154.60206713923</v>
      </c>
      <c r="R194" s="66">
        <f t="shared" ref="R194:X194" si="36">R8+R116+R134+R169+R171+R182</f>
        <v>947212.69035979733</v>
      </c>
      <c r="S194" s="820">
        <f>S8+S116+S134+S169+S171+S182</f>
        <v>1024010.5860824216</v>
      </c>
      <c r="T194" s="1107">
        <f t="shared" si="36"/>
        <v>1004846.8608151575</v>
      </c>
      <c r="U194" s="66">
        <f t="shared" si="36"/>
        <v>786875.20687333203</v>
      </c>
      <c r="V194" s="66">
        <f>V8+V116+V134+V169+V171+V182</f>
        <v>1099130.8044368352</v>
      </c>
      <c r="W194" s="66">
        <f t="shared" si="36"/>
        <v>1170901.0364308429</v>
      </c>
      <c r="X194" s="1122">
        <f t="shared" si="36"/>
        <v>844279.46836753457</v>
      </c>
      <c r="Y194" s="1107">
        <f>Y8+Y116+Y134+Y169+Y171+Y182</f>
        <v>1201922.1146507333</v>
      </c>
      <c r="Z194" s="1122">
        <f>Z8+Z116+Z134+Z169+Z171+Z182</f>
        <v>818419.51601645246</v>
      </c>
      <c r="AA194" s="1107">
        <f>AA8+AA116+AA134+AA169+AA171+AA182</f>
        <v>1235549.0874539432</v>
      </c>
      <c r="AB194" s="978">
        <v>19347.8470730804</v>
      </c>
      <c r="AD194" s="134"/>
      <c r="AF194" s="134">
        <f>Z194-Z328</f>
        <v>-4620.640000000014</v>
      </c>
    </row>
    <row r="195" spans="2:32">
      <c r="B195" s="788"/>
      <c r="C195" s="62"/>
      <c r="D195" s="63"/>
      <c r="E195" s="64"/>
      <c r="F195" s="30"/>
      <c r="G195" s="30"/>
      <c r="H195" s="30"/>
      <c r="I195" s="30"/>
      <c r="J195" s="30"/>
      <c r="K195" s="30"/>
      <c r="L195" s="30"/>
      <c r="M195" s="30"/>
      <c r="N195" s="30"/>
      <c r="O195" s="765">
        <f t="shared" si="23"/>
        <v>0</v>
      </c>
      <c r="P195" s="30"/>
      <c r="Q195" s="31"/>
      <c r="R195" s="31"/>
      <c r="S195" s="812"/>
      <c r="T195" s="1103"/>
      <c r="U195" s="30"/>
      <c r="V195" s="973"/>
      <c r="W195" s="1103"/>
      <c r="X195" s="973"/>
      <c r="Y195" s="1103"/>
      <c r="Z195" s="973"/>
      <c r="AA195" s="1103"/>
      <c r="AB195" s="973"/>
    </row>
    <row r="196" spans="2:32" ht="33.75">
      <c r="B196" s="788"/>
      <c r="C196" s="49" t="s">
        <v>332</v>
      </c>
      <c r="D196" s="65" t="s">
        <v>333</v>
      </c>
      <c r="E196" s="16" t="s">
        <v>22</v>
      </c>
      <c r="F196" s="17">
        <v>-31648.719999999998</v>
      </c>
      <c r="G196" s="17">
        <v>77361.649999999994</v>
      </c>
      <c r="H196" s="17">
        <v>-47314.98</v>
      </c>
      <c r="I196" s="17">
        <v>0</v>
      </c>
      <c r="J196" s="17">
        <v>37524.639999999999</v>
      </c>
      <c r="K196" s="17">
        <v>0</v>
      </c>
      <c r="L196" s="17">
        <v>0</v>
      </c>
      <c r="M196" s="17">
        <v>0</v>
      </c>
      <c r="N196" s="17"/>
      <c r="O196" s="765">
        <f t="shared" si="23"/>
        <v>0</v>
      </c>
      <c r="P196" s="17">
        <v>0</v>
      </c>
      <c r="Q196" s="18">
        <v>0</v>
      </c>
      <c r="R196" s="18">
        <f>R206</f>
        <v>0</v>
      </c>
      <c r="S196" s="18">
        <f>S206</f>
        <v>0</v>
      </c>
      <c r="T196" s="1108">
        <f t="shared" ref="T196:AB196" si="37">T206</f>
        <v>33000</v>
      </c>
      <c r="U196" s="18">
        <f t="shared" si="37"/>
        <v>14910.76</v>
      </c>
      <c r="V196" s="979"/>
      <c r="W196" s="1108">
        <f t="shared" si="37"/>
        <v>33000</v>
      </c>
      <c r="X196" s="979">
        <f t="shared" si="37"/>
        <v>0</v>
      </c>
      <c r="Y196" s="1108">
        <f t="shared" si="37"/>
        <v>34164.28</v>
      </c>
      <c r="Z196" s="979">
        <f t="shared" si="37"/>
        <v>0</v>
      </c>
      <c r="AA196" s="1108">
        <f t="shared" si="37"/>
        <v>0</v>
      </c>
      <c r="AB196" s="979">
        <f t="shared" si="37"/>
        <v>0</v>
      </c>
    </row>
    <row r="197" spans="2:32" ht="21" hidden="1">
      <c r="B197" s="788"/>
      <c r="C197" s="67" t="s">
        <v>617</v>
      </c>
      <c r="D197" s="68" t="s">
        <v>334</v>
      </c>
      <c r="E197" s="69" t="s">
        <v>22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765">
        <f t="shared" si="23"/>
        <v>0</v>
      </c>
      <c r="P197" s="22"/>
      <c r="Q197" s="23"/>
      <c r="R197" s="23"/>
      <c r="S197" s="810"/>
      <c r="T197" s="254"/>
      <c r="U197" s="22"/>
      <c r="V197" s="971"/>
      <c r="W197" s="254"/>
      <c r="X197" s="971"/>
      <c r="Y197" s="254"/>
      <c r="Z197" s="971"/>
      <c r="AA197" s="254"/>
      <c r="AB197" s="971"/>
    </row>
    <row r="198" spans="2:32" ht="21.75" hidden="1" customHeight="1">
      <c r="B198" s="788"/>
      <c r="C198" s="67" t="s">
        <v>618</v>
      </c>
      <c r="D198" s="68" t="s">
        <v>335</v>
      </c>
      <c r="E198" s="16" t="s">
        <v>22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765">
        <f t="shared" si="23"/>
        <v>0</v>
      </c>
      <c r="P198" s="22"/>
      <c r="Q198" s="23"/>
      <c r="R198" s="23"/>
      <c r="S198" s="810"/>
      <c r="T198" s="254"/>
      <c r="U198" s="22"/>
      <c r="V198" s="971"/>
      <c r="W198" s="254"/>
      <c r="X198" s="971"/>
      <c r="Y198" s="254"/>
      <c r="Z198" s="971"/>
      <c r="AA198" s="254"/>
      <c r="AB198" s="971"/>
    </row>
    <row r="199" spans="2:32" ht="63" hidden="1">
      <c r="B199" s="788"/>
      <c r="C199" s="67" t="s">
        <v>619</v>
      </c>
      <c r="D199" s="68" t="s">
        <v>336</v>
      </c>
      <c r="E199" s="16" t="s">
        <v>22</v>
      </c>
      <c r="F199" s="22">
        <v>0</v>
      </c>
      <c r="G199" s="22">
        <v>77361.649999999994</v>
      </c>
      <c r="H199" s="22"/>
      <c r="I199" s="22"/>
      <c r="J199" s="22"/>
      <c r="K199" s="22"/>
      <c r="L199" s="22"/>
      <c r="M199" s="22"/>
      <c r="N199" s="22"/>
      <c r="O199" s="765">
        <f t="shared" si="23"/>
        <v>0</v>
      </c>
      <c r="P199" s="22"/>
      <c r="Q199" s="23"/>
      <c r="R199" s="23"/>
      <c r="S199" s="810"/>
      <c r="T199" s="254"/>
      <c r="U199" s="22"/>
      <c r="V199" s="971"/>
      <c r="W199" s="254"/>
      <c r="X199" s="971"/>
      <c r="Y199" s="254"/>
      <c r="Z199" s="971"/>
      <c r="AA199" s="254"/>
      <c r="AB199" s="971"/>
    </row>
    <row r="200" spans="2:32" ht="31.5" hidden="1">
      <c r="B200" s="788"/>
      <c r="C200" s="67" t="s">
        <v>620</v>
      </c>
      <c r="D200" s="68" t="s">
        <v>337</v>
      </c>
      <c r="E200" s="16" t="s">
        <v>22</v>
      </c>
      <c r="F200" s="17">
        <v>6544.98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/>
      <c r="O200" s="765">
        <f t="shared" si="23"/>
        <v>0</v>
      </c>
      <c r="P200" s="17">
        <v>0</v>
      </c>
      <c r="Q200" s="18">
        <v>0</v>
      </c>
      <c r="R200" s="18"/>
      <c r="S200" s="813"/>
      <c r="T200" s="1101">
        <v>0</v>
      </c>
      <c r="U200" s="17">
        <v>0</v>
      </c>
      <c r="V200" s="970"/>
      <c r="W200" s="1101">
        <v>0</v>
      </c>
      <c r="X200" s="970">
        <v>0</v>
      </c>
      <c r="Y200" s="1101">
        <v>0</v>
      </c>
      <c r="Z200" s="970">
        <v>0</v>
      </c>
      <c r="AA200" s="1101">
        <v>0</v>
      </c>
      <c r="AB200" s="970">
        <v>0</v>
      </c>
    </row>
    <row r="201" spans="2:32" ht="31.5" hidden="1">
      <c r="B201" s="788"/>
      <c r="C201" s="67" t="s">
        <v>621</v>
      </c>
      <c r="D201" s="70" t="s">
        <v>338</v>
      </c>
      <c r="E201" s="16" t="s">
        <v>22</v>
      </c>
      <c r="F201" s="22">
        <v>6544.98</v>
      </c>
      <c r="G201" s="22"/>
      <c r="H201" s="22"/>
      <c r="I201" s="22"/>
      <c r="J201" s="22"/>
      <c r="K201" s="22"/>
      <c r="L201" s="22"/>
      <c r="M201" s="22"/>
      <c r="N201" s="22"/>
      <c r="O201" s="765">
        <f t="shared" si="23"/>
        <v>0</v>
      </c>
      <c r="P201" s="22"/>
      <c r="Q201" s="23"/>
      <c r="R201" s="23"/>
      <c r="S201" s="810"/>
      <c r="T201" s="254"/>
      <c r="U201" s="22"/>
      <c r="V201" s="971"/>
      <c r="W201" s="254"/>
      <c r="X201" s="971"/>
      <c r="Y201" s="254"/>
      <c r="Z201" s="971"/>
      <c r="AA201" s="254"/>
      <c r="AB201" s="971"/>
    </row>
    <row r="202" spans="2:32" ht="52.5" hidden="1">
      <c r="B202" s="788"/>
      <c r="C202" s="67" t="s">
        <v>622</v>
      </c>
      <c r="D202" s="70" t="s">
        <v>339</v>
      </c>
      <c r="E202" s="69" t="s">
        <v>22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765">
        <f t="shared" ref="O202:O265" si="38">N202-L202</f>
        <v>0</v>
      </c>
      <c r="P202" s="22"/>
      <c r="Q202" s="23"/>
      <c r="R202" s="23"/>
      <c r="S202" s="810"/>
      <c r="T202" s="254"/>
      <c r="U202" s="22"/>
      <c r="V202" s="971"/>
      <c r="W202" s="254"/>
      <c r="X202" s="971"/>
      <c r="Y202" s="254"/>
      <c r="Z202" s="971"/>
      <c r="AA202" s="254"/>
      <c r="AB202" s="971"/>
    </row>
    <row r="203" spans="2:32" ht="94.5" hidden="1">
      <c r="B203" s="788"/>
      <c r="C203" s="67" t="s">
        <v>623</v>
      </c>
      <c r="D203" s="71" t="s">
        <v>340</v>
      </c>
      <c r="E203" s="69" t="s">
        <v>22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765">
        <f t="shared" si="38"/>
        <v>0</v>
      </c>
      <c r="P203" s="22"/>
      <c r="Q203" s="23"/>
      <c r="R203" s="23"/>
      <c r="S203" s="810"/>
      <c r="T203" s="254"/>
      <c r="U203" s="22"/>
      <c r="V203" s="971"/>
      <c r="W203" s="254"/>
      <c r="X203" s="971"/>
      <c r="Y203" s="254"/>
      <c r="Z203" s="971"/>
      <c r="AA203" s="254"/>
      <c r="AB203" s="971"/>
    </row>
    <row r="204" spans="2:32" ht="42" hidden="1">
      <c r="B204" s="788"/>
      <c r="C204" s="67"/>
      <c r="D204" s="72" t="s">
        <v>341</v>
      </c>
      <c r="E204" s="69"/>
      <c r="F204" s="22">
        <v>-38193.699999999997</v>
      </c>
      <c r="G204" s="22"/>
      <c r="H204" s="22">
        <v>-47314.98</v>
      </c>
      <c r="I204" s="22"/>
      <c r="J204" s="22">
        <v>37524.639999999999</v>
      </c>
      <c r="K204" s="22"/>
      <c r="L204" s="22"/>
      <c r="M204" s="22"/>
      <c r="N204" s="22"/>
      <c r="O204" s="765">
        <f t="shared" si="38"/>
        <v>0</v>
      </c>
      <c r="P204" s="22"/>
      <c r="Q204" s="23"/>
      <c r="R204" s="23"/>
      <c r="S204" s="810"/>
      <c r="T204" s="254"/>
      <c r="U204" s="22"/>
      <c r="V204" s="971"/>
      <c r="W204" s="254"/>
      <c r="X204" s="971"/>
      <c r="Y204" s="254"/>
      <c r="Z204" s="971"/>
      <c r="AA204" s="254"/>
      <c r="AB204" s="971"/>
    </row>
    <row r="205" spans="2:32">
      <c r="B205" s="788"/>
      <c r="C205" s="62"/>
      <c r="D205" s="73"/>
      <c r="E205" s="64"/>
      <c r="F205" s="74"/>
      <c r="G205" s="74"/>
      <c r="H205" s="74"/>
      <c r="I205" s="74"/>
      <c r="J205" s="74"/>
      <c r="K205" s="74"/>
      <c r="L205" s="74"/>
      <c r="M205" s="74"/>
      <c r="N205" s="74"/>
      <c r="O205" s="765">
        <f t="shared" si="38"/>
        <v>0</v>
      </c>
      <c r="P205" s="74"/>
      <c r="Q205" s="75"/>
      <c r="R205" s="75"/>
      <c r="S205" s="821"/>
      <c r="T205" s="1109"/>
      <c r="U205" s="74"/>
      <c r="V205" s="980"/>
      <c r="W205" s="1109"/>
      <c r="X205" s="980"/>
      <c r="Y205" s="1109"/>
      <c r="Z205" s="980"/>
      <c r="AA205" s="1109"/>
      <c r="AB205" s="980"/>
    </row>
    <row r="206" spans="2:32">
      <c r="B206" s="788"/>
      <c r="C206" s="67" t="s">
        <v>624</v>
      </c>
      <c r="D206" s="76" t="s">
        <v>1290</v>
      </c>
      <c r="E206" s="69" t="s">
        <v>22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765">
        <f t="shared" si="38"/>
        <v>0</v>
      </c>
      <c r="P206" s="22"/>
      <c r="Q206" s="23"/>
      <c r="R206" s="22">
        <v>0</v>
      </c>
      <c r="S206" s="768">
        <v>0</v>
      </c>
      <c r="T206" s="254">
        <v>33000</v>
      </c>
      <c r="U206" s="22">
        <v>14910.76</v>
      </c>
      <c r="V206" s="971"/>
      <c r="W206" s="254">
        <v>33000</v>
      </c>
      <c r="X206" s="971"/>
      <c r="Y206" s="254">
        <f>100164.28-T206-W206</f>
        <v>34164.28</v>
      </c>
      <c r="Z206" s="971"/>
      <c r="AA206" s="254"/>
      <c r="AB206" s="971"/>
    </row>
    <row r="207" spans="2:32">
      <c r="B207" s="788"/>
      <c r="C207" s="62"/>
      <c r="D207" s="73"/>
      <c r="E207" s="64"/>
      <c r="F207" s="74"/>
      <c r="G207" s="74"/>
      <c r="H207" s="74"/>
      <c r="I207" s="74"/>
      <c r="J207" s="74"/>
      <c r="K207" s="74"/>
      <c r="L207" s="74"/>
      <c r="M207" s="74"/>
      <c r="N207" s="74"/>
      <c r="O207" s="765">
        <f t="shared" si="38"/>
        <v>0</v>
      </c>
      <c r="P207" s="74"/>
      <c r="Q207" s="75"/>
      <c r="R207" s="75"/>
      <c r="S207" s="821"/>
      <c r="T207" s="1109"/>
      <c r="U207" s="74"/>
      <c r="V207" s="980"/>
      <c r="W207" s="1109"/>
      <c r="X207" s="980"/>
      <c r="Y207" s="1109"/>
      <c r="Z207" s="980"/>
      <c r="AA207" s="1109"/>
      <c r="AB207" s="980"/>
    </row>
    <row r="208" spans="2:32" ht="31.5">
      <c r="B208" s="788"/>
      <c r="C208" s="49" t="s">
        <v>342</v>
      </c>
      <c r="D208" s="49" t="s">
        <v>343</v>
      </c>
      <c r="E208" s="16" t="s">
        <v>22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765">
        <f t="shared" si="38"/>
        <v>0</v>
      </c>
      <c r="P208" s="22"/>
      <c r="Q208" s="23"/>
      <c r="R208" s="23"/>
      <c r="S208" s="810"/>
      <c r="T208" s="254"/>
      <c r="U208" s="22"/>
      <c r="V208" s="971"/>
      <c r="W208" s="254"/>
      <c r="X208" s="971"/>
      <c r="Y208" s="254"/>
      <c r="Z208" s="971"/>
      <c r="AA208" s="254"/>
      <c r="AB208" s="971"/>
    </row>
    <row r="209" spans="2:31" ht="21">
      <c r="B209" s="788"/>
      <c r="C209" s="49" t="s">
        <v>344</v>
      </c>
      <c r="D209" s="49" t="s">
        <v>345</v>
      </c>
      <c r="E209" s="16" t="s">
        <v>22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765">
        <f t="shared" si="38"/>
        <v>0</v>
      </c>
      <c r="P209" s="22"/>
      <c r="Q209" s="23"/>
      <c r="R209" s="23"/>
      <c r="S209" s="810"/>
      <c r="T209" s="254"/>
      <c r="U209" s="22"/>
      <c r="V209" s="971"/>
      <c r="W209" s="254"/>
      <c r="X209" s="971"/>
      <c r="Y209" s="254"/>
      <c r="Z209" s="971"/>
      <c r="AA209" s="254"/>
      <c r="AB209" s="971"/>
    </row>
    <row r="210" spans="2:31">
      <c r="B210" s="794" t="s">
        <v>346</v>
      </c>
      <c r="C210" s="49" t="s">
        <v>347</v>
      </c>
      <c r="D210" s="49" t="s">
        <v>348</v>
      </c>
      <c r="E210" s="69" t="s">
        <v>22</v>
      </c>
      <c r="F210" s="17">
        <v>21118</v>
      </c>
      <c r="G210" s="17">
        <v>2195.92</v>
      </c>
      <c r="H210" s="17">
        <v>14381</v>
      </c>
      <c r="I210" s="17">
        <v>8558.0499999999993</v>
      </c>
      <c r="J210" s="17">
        <v>3800.3599999999997</v>
      </c>
      <c r="K210" s="17">
        <v>2138.36</v>
      </c>
      <c r="L210" s="17">
        <v>2755</v>
      </c>
      <c r="M210" s="17">
        <v>2245.2780000000002</v>
      </c>
      <c r="N210" s="17">
        <f>N214</f>
        <v>4358.5526790000031</v>
      </c>
      <c r="O210" s="765">
        <f t="shared" si="38"/>
        <v>1603.5526790000031</v>
      </c>
      <c r="P210" s="17">
        <v>11034.191400361346</v>
      </c>
      <c r="Q210" s="18">
        <v>2335.0891200000005</v>
      </c>
      <c r="R210" s="17">
        <f>R214</f>
        <v>4532.8947861600036</v>
      </c>
      <c r="S210" s="770">
        <f>S214</f>
        <v>2335.0891200000005</v>
      </c>
      <c r="T210" s="1101">
        <f t="shared" ref="T210:AB210" si="39">T214</f>
        <v>4714.2105776064036</v>
      </c>
      <c r="U210" s="17">
        <f t="shared" si="39"/>
        <v>2428.4926848000005</v>
      </c>
      <c r="V210" s="970">
        <f t="shared" si="39"/>
        <v>2428.4926848000005</v>
      </c>
      <c r="W210" s="1101">
        <f t="shared" si="39"/>
        <v>4902.7790007106596</v>
      </c>
      <c r="X210" s="970">
        <f t="shared" si="39"/>
        <v>2650.31</v>
      </c>
      <c r="Y210" s="1101">
        <f t="shared" si="39"/>
        <v>5098.8901607390862</v>
      </c>
      <c r="Z210" s="970">
        <v>2777.38</v>
      </c>
      <c r="AA210" s="1101">
        <f t="shared" si="39"/>
        <v>5302.8457671686501</v>
      </c>
      <c r="AB210" s="970">
        <f t="shared" si="39"/>
        <v>0</v>
      </c>
    </row>
    <row r="211" spans="2:31">
      <c r="B211" s="788"/>
      <c r="C211" s="62"/>
      <c r="D211" s="78"/>
      <c r="E211" s="64"/>
      <c r="F211" s="74"/>
      <c r="G211" s="74"/>
      <c r="H211" s="74"/>
      <c r="I211" s="74"/>
      <c r="J211" s="74"/>
      <c r="K211" s="74"/>
      <c r="L211" s="74"/>
      <c r="M211" s="74"/>
      <c r="N211" s="74"/>
      <c r="O211" s="765">
        <f t="shared" si="38"/>
        <v>0</v>
      </c>
      <c r="P211" s="74"/>
      <c r="Q211" s="75"/>
      <c r="R211" s="74"/>
      <c r="S211" s="822"/>
      <c r="T211" s="1109"/>
      <c r="U211" s="74"/>
      <c r="V211" s="980"/>
      <c r="W211" s="1109"/>
      <c r="X211" s="980"/>
      <c r="Y211" s="1109"/>
      <c r="Z211" s="980"/>
      <c r="AA211" s="1109"/>
      <c r="AB211" s="980"/>
    </row>
    <row r="212" spans="2:31" ht="31.5">
      <c r="B212" s="788"/>
      <c r="C212" s="79" t="s">
        <v>349</v>
      </c>
      <c r="D212" s="15" t="s">
        <v>350</v>
      </c>
      <c r="E212" s="69" t="s">
        <v>22</v>
      </c>
      <c r="F212" s="22">
        <v>18600</v>
      </c>
      <c r="G212" s="22">
        <v>0</v>
      </c>
      <c r="H212" s="22">
        <v>11921</v>
      </c>
      <c r="I212" s="22">
        <v>6042.43</v>
      </c>
      <c r="J212" s="22">
        <v>1235.3599999999999</v>
      </c>
      <c r="K212" s="22">
        <v>0</v>
      </c>
      <c r="L212" s="22">
        <v>0</v>
      </c>
      <c r="M212" s="22">
        <v>0</v>
      </c>
      <c r="N212" s="22"/>
      <c r="O212" s="765">
        <f t="shared" si="38"/>
        <v>0</v>
      </c>
      <c r="P212" s="22">
        <v>8699.102280361345</v>
      </c>
      <c r="Q212" s="23">
        <v>0</v>
      </c>
      <c r="R212" s="22">
        <v>0</v>
      </c>
      <c r="S212" s="768"/>
      <c r="T212" s="254">
        <v>0</v>
      </c>
      <c r="U212" s="22">
        <v>0</v>
      </c>
      <c r="V212" s="971"/>
      <c r="W212" s="254">
        <v>9195.7852554662659</v>
      </c>
      <c r="X212" s="971">
        <v>2650.31</v>
      </c>
      <c r="Y212" s="254">
        <v>9506.1191117994913</v>
      </c>
      <c r="Z212" s="971">
        <v>2777.38</v>
      </c>
      <c r="AA212" s="254">
        <v>9848.5637310526727</v>
      </c>
      <c r="AB212" s="971">
        <v>0</v>
      </c>
      <c r="AE212" s="134"/>
    </row>
    <row r="213" spans="2:31" ht="31.5">
      <c r="B213" s="788"/>
      <c r="C213" s="79" t="s">
        <v>351</v>
      </c>
      <c r="D213" s="80" t="s">
        <v>352</v>
      </c>
      <c r="E213" s="69" t="s">
        <v>353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65">
        <f t="shared" si="38"/>
        <v>0</v>
      </c>
      <c r="P213" s="81">
        <v>0.01</v>
      </c>
      <c r="Q213" s="82"/>
      <c r="R213" s="81"/>
      <c r="S213" s="823"/>
      <c r="T213" s="1110">
        <v>0.01</v>
      </c>
      <c r="U213" s="81">
        <v>0.01</v>
      </c>
      <c r="V213" s="981"/>
      <c r="W213" s="1110">
        <v>0.01</v>
      </c>
      <c r="X213" s="981">
        <v>0.01</v>
      </c>
      <c r="Y213" s="1110">
        <v>0.01</v>
      </c>
      <c r="Z213" s="981">
        <v>0.01</v>
      </c>
      <c r="AA213" s="1110">
        <v>0.01</v>
      </c>
      <c r="AB213" s="981">
        <v>0.01</v>
      </c>
    </row>
    <row r="214" spans="2:31" ht="31.5">
      <c r="B214" s="788"/>
      <c r="C214" s="79" t="s">
        <v>354</v>
      </c>
      <c r="D214" s="15" t="s">
        <v>355</v>
      </c>
      <c r="E214" s="69" t="s">
        <v>22</v>
      </c>
      <c r="F214" s="22">
        <v>2518</v>
      </c>
      <c r="G214" s="22">
        <v>2195.92</v>
      </c>
      <c r="H214" s="22">
        <v>2460</v>
      </c>
      <c r="I214" s="22">
        <v>2515.62</v>
      </c>
      <c r="J214" s="22">
        <v>2565</v>
      </c>
      <c r="K214" s="22">
        <v>2138.36</v>
      </c>
      <c r="L214" s="22">
        <v>2755</v>
      </c>
      <c r="M214" s="22">
        <v>2245.2780000000002</v>
      </c>
      <c r="N214" s="22">
        <f>N217</f>
        <v>4358.5526790000031</v>
      </c>
      <c r="O214" s="765">
        <f t="shared" si="38"/>
        <v>1603.5526790000031</v>
      </c>
      <c r="P214" s="22">
        <v>2335.0891200000005</v>
      </c>
      <c r="Q214" s="23">
        <v>2335.0891200000005</v>
      </c>
      <c r="R214" s="22">
        <f>R217</f>
        <v>4532.8947861600036</v>
      </c>
      <c r="S214" s="768">
        <f>S217</f>
        <v>2335.0891200000005</v>
      </c>
      <c r="T214" s="254">
        <f>T217</f>
        <v>4714.2105776064036</v>
      </c>
      <c r="U214" s="22">
        <f>Q214*1.04</f>
        <v>2428.4926848000005</v>
      </c>
      <c r="V214" s="971">
        <f>U214</f>
        <v>2428.4926848000005</v>
      </c>
      <c r="W214" s="254">
        <f t="shared" ref="W214:AB214" si="40">W217</f>
        <v>4902.7790007106596</v>
      </c>
      <c r="X214" s="971">
        <f t="shared" si="40"/>
        <v>2650.31</v>
      </c>
      <c r="Y214" s="254">
        <f t="shared" si="40"/>
        <v>5098.8901607390862</v>
      </c>
      <c r="Z214" s="971">
        <f t="shared" si="40"/>
        <v>0</v>
      </c>
      <c r="AA214" s="254">
        <f t="shared" si="40"/>
        <v>5302.8457671686501</v>
      </c>
      <c r="AB214" s="971">
        <f t="shared" si="40"/>
        <v>0</v>
      </c>
    </row>
    <row r="215" spans="2:31" ht="168" hidden="1">
      <c r="B215" s="788"/>
      <c r="C215" s="79" t="s">
        <v>356</v>
      </c>
      <c r="D215" s="80" t="s">
        <v>357</v>
      </c>
      <c r="E215" s="69" t="s">
        <v>353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65">
        <f t="shared" si="38"/>
        <v>0</v>
      </c>
      <c r="P215" s="74"/>
      <c r="Q215" s="75"/>
      <c r="R215" s="74"/>
      <c r="S215" s="822"/>
      <c r="T215" s="1109"/>
      <c r="U215" s="74"/>
      <c r="V215" s="980"/>
      <c r="W215" s="1109"/>
      <c r="X215" s="980"/>
      <c r="Y215" s="1109"/>
      <c r="Z215" s="980"/>
      <c r="AA215" s="1109"/>
      <c r="AB215" s="980"/>
    </row>
    <row r="216" spans="2:31" ht="262.5" hidden="1">
      <c r="B216" s="788"/>
      <c r="C216" s="79" t="s">
        <v>358</v>
      </c>
      <c r="D216" s="80" t="s">
        <v>359</v>
      </c>
      <c r="E216" s="69" t="s">
        <v>22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765">
        <f t="shared" si="38"/>
        <v>0</v>
      </c>
      <c r="P216" s="22"/>
      <c r="Q216" s="23"/>
      <c r="R216" s="22"/>
      <c r="S216" s="768"/>
      <c r="T216" s="254"/>
      <c r="U216" s="22"/>
      <c r="V216" s="971"/>
      <c r="W216" s="254"/>
      <c r="X216" s="971"/>
      <c r="Y216" s="254"/>
      <c r="Z216" s="971"/>
      <c r="AA216" s="254"/>
      <c r="AB216" s="971"/>
    </row>
    <row r="217" spans="2:31" ht="84" customHeight="1">
      <c r="B217" s="788"/>
      <c r="C217" s="79" t="s">
        <v>360</v>
      </c>
      <c r="D217" s="80" t="s">
        <v>361</v>
      </c>
      <c r="E217" s="69" t="s">
        <v>22</v>
      </c>
      <c r="F217" s="22">
        <v>2518</v>
      </c>
      <c r="G217" s="22">
        <v>2195.92</v>
      </c>
      <c r="H217" s="22">
        <v>2460</v>
      </c>
      <c r="I217" s="22">
        <v>2515.62</v>
      </c>
      <c r="J217" s="22">
        <v>2565</v>
      </c>
      <c r="K217" s="22">
        <v>2138.36</v>
      </c>
      <c r="L217" s="22">
        <v>2755</v>
      </c>
      <c r="M217" s="22">
        <v>2245.2780000000002</v>
      </c>
      <c r="N217" s="22">
        <f>'соц выплаты 2018'!G53</f>
        <v>4358.5526790000031</v>
      </c>
      <c r="O217" s="765">
        <f t="shared" si="38"/>
        <v>1603.5526790000031</v>
      </c>
      <c r="P217" s="22">
        <v>2335.0891200000005</v>
      </c>
      <c r="Q217" s="23">
        <v>2335.0891200000005</v>
      </c>
      <c r="R217" s="22">
        <f>N217*1.04</f>
        <v>4532.8947861600036</v>
      </c>
      <c r="S217" s="768">
        <f>Q217</f>
        <v>2335.0891200000005</v>
      </c>
      <c r="T217" s="254">
        <f>R217*1.04</f>
        <v>4714.2105776064036</v>
      </c>
      <c r="U217" s="22">
        <f>U214</f>
        <v>2428.4926848000005</v>
      </c>
      <c r="V217" s="971"/>
      <c r="W217" s="254">
        <f>T217*1.04</f>
        <v>4902.7790007106596</v>
      </c>
      <c r="X217" s="971">
        <f>X212</f>
        <v>2650.31</v>
      </c>
      <c r="Y217" s="254">
        <f>W217*1.04</f>
        <v>5098.8901607390862</v>
      </c>
      <c r="Z217" s="971"/>
      <c r="AA217" s="254">
        <f>Y217*1.04</f>
        <v>5302.8457671686501</v>
      </c>
      <c r="AB217" s="971"/>
    </row>
    <row r="218" spans="2:31" ht="21" hidden="1">
      <c r="B218" s="788"/>
      <c r="C218" s="79" t="s">
        <v>362</v>
      </c>
      <c r="D218" s="80" t="s">
        <v>363</v>
      </c>
      <c r="E218" s="69" t="s">
        <v>353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65">
        <f t="shared" si="38"/>
        <v>0</v>
      </c>
      <c r="P218" s="74"/>
      <c r="Q218" s="75"/>
      <c r="R218" s="75"/>
      <c r="S218" s="821"/>
      <c r="T218" s="1109"/>
      <c r="U218" s="74"/>
      <c r="V218" s="980"/>
      <c r="W218" s="1109"/>
      <c r="X218" s="980"/>
      <c r="Y218" s="1109"/>
      <c r="Z218" s="980"/>
      <c r="AA218" s="1109"/>
      <c r="AB218" s="980"/>
    </row>
    <row r="219" spans="2:31" hidden="1">
      <c r="B219" s="788"/>
      <c r="C219" s="62"/>
      <c r="D219" s="78"/>
      <c r="E219" s="64"/>
      <c r="F219" s="74"/>
      <c r="G219" s="74"/>
      <c r="H219" s="74"/>
      <c r="I219" s="74"/>
      <c r="J219" s="74"/>
      <c r="K219" s="74"/>
      <c r="L219" s="74"/>
      <c r="M219" s="74"/>
      <c r="N219" s="74"/>
      <c r="O219" s="765">
        <f t="shared" si="38"/>
        <v>0</v>
      </c>
      <c r="P219" s="74"/>
      <c r="Q219" s="75"/>
      <c r="R219" s="75"/>
      <c r="S219" s="821"/>
      <c r="T219" s="1109"/>
      <c r="U219" s="74"/>
      <c r="V219" s="980"/>
      <c r="W219" s="1109"/>
      <c r="X219" s="980"/>
      <c r="Y219" s="1109"/>
      <c r="Z219" s="980"/>
      <c r="AA219" s="1109"/>
      <c r="AB219" s="980"/>
    </row>
    <row r="220" spans="2:31" ht="21" hidden="1">
      <c r="B220" s="788"/>
      <c r="C220" s="79" t="s">
        <v>364</v>
      </c>
      <c r="D220" s="80" t="s">
        <v>365</v>
      </c>
      <c r="E220" s="69" t="s">
        <v>22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765">
        <f t="shared" si="38"/>
        <v>0</v>
      </c>
      <c r="P220" s="22"/>
      <c r="Q220" s="23"/>
      <c r="R220" s="23"/>
      <c r="S220" s="810"/>
      <c r="T220" s="254"/>
      <c r="U220" s="22"/>
      <c r="V220" s="971"/>
      <c r="W220" s="254"/>
      <c r="X220" s="971"/>
      <c r="Y220" s="254"/>
      <c r="Z220" s="971"/>
      <c r="AA220" s="254"/>
      <c r="AB220" s="971"/>
    </row>
    <row r="221" spans="2:31" ht="21" hidden="1">
      <c r="B221" s="788"/>
      <c r="C221" s="79" t="s">
        <v>366</v>
      </c>
      <c r="D221" s="80" t="s">
        <v>365</v>
      </c>
      <c r="E221" s="69" t="s">
        <v>353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65">
        <f t="shared" si="38"/>
        <v>0</v>
      </c>
      <c r="P221" s="74"/>
      <c r="Q221" s="75"/>
      <c r="R221" s="75"/>
      <c r="S221" s="821"/>
      <c r="T221" s="1109"/>
      <c r="U221" s="74"/>
      <c r="V221" s="980"/>
      <c r="W221" s="1109"/>
      <c r="X221" s="980"/>
      <c r="Y221" s="1109"/>
      <c r="Z221" s="980"/>
      <c r="AA221" s="1109"/>
      <c r="AB221" s="980"/>
    </row>
    <row r="222" spans="2:31" ht="25.35" hidden="1" customHeight="1">
      <c r="B222" s="788"/>
      <c r="C222" s="83"/>
      <c r="D222" s="49" t="s">
        <v>367</v>
      </c>
      <c r="E222" s="64"/>
      <c r="F222" s="74"/>
      <c r="G222" s="74"/>
      <c r="H222" s="74"/>
      <c r="I222" s="74"/>
      <c r="J222" s="74"/>
      <c r="K222" s="74"/>
      <c r="L222" s="74"/>
      <c r="M222" s="74"/>
      <c r="N222" s="74"/>
      <c r="O222" s="765">
        <f t="shared" si="38"/>
        <v>0</v>
      </c>
      <c r="P222" s="74"/>
      <c r="Q222" s="75"/>
      <c r="R222" s="75"/>
      <c r="S222" s="821"/>
      <c r="T222" s="1109"/>
      <c r="U222" s="74"/>
      <c r="V222" s="980"/>
      <c r="W222" s="1109"/>
      <c r="X222" s="980"/>
      <c r="Y222" s="1109"/>
      <c r="Z222" s="980"/>
      <c r="AA222" s="1109"/>
      <c r="AB222" s="980"/>
    </row>
    <row r="223" spans="2:31" ht="21" hidden="1" outlineLevel="1">
      <c r="B223" s="788"/>
      <c r="C223" s="79" t="s">
        <v>368</v>
      </c>
      <c r="D223" s="84" t="s">
        <v>369</v>
      </c>
      <c r="E223" s="69" t="s">
        <v>22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/>
      <c r="O223" s="765">
        <f t="shared" si="38"/>
        <v>0</v>
      </c>
      <c r="P223" s="17">
        <v>0</v>
      </c>
      <c r="Q223" s="18">
        <v>0</v>
      </c>
      <c r="R223" s="18"/>
      <c r="S223" s="813"/>
      <c r="T223" s="1101">
        <v>0</v>
      </c>
      <c r="U223" s="17">
        <v>0</v>
      </c>
      <c r="V223" s="970"/>
      <c r="W223" s="1101">
        <v>0</v>
      </c>
      <c r="X223" s="970">
        <v>0</v>
      </c>
      <c r="Y223" s="1101">
        <v>0</v>
      </c>
      <c r="Z223" s="970">
        <v>0</v>
      </c>
      <c r="AA223" s="1101">
        <v>0</v>
      </c>
      <c r="AB223" s="970">
        <v>0</v>
      </c>
    </row>
    <row r="224" spans="2:31" ht="21" hidden="1" outlineLevel="1">
      <c r="B224" s="788"/>
      <c r="C224" s="79" t="s">
        <v>370</v>
      </c>
      <c r="D224" s="85" t="s">
        <v>625</v>
      </c>
      <c r="E224" s="69" t="s">
        <v>22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765">
        <f t="shared" si="38"/>
        <v>0</v>
      </c>
      <c r="P224" s="22"/>
      <c r="Q224" s="23"/>
      <c r="R224" s="23"/>
      <c r="S224" s="810"/>
      <c r="T224" s="254"/>
      <c r="U224" s="22"/>
      <c r="V224" s="971"/>
      <c r="W224" s="254"/>
      <c r="X224" s="971"/>
      <c r="Y224" s="254"/>
      <c r="Z224" s="971"/>
      <c r="AA224" s="254"/>
      <c r="AB224" s="971"/>
    </row>
    <row r="225" spans="2:28" ht="21" hidden="1" outlineLevel="1">
      <c r="B225" s="788"/>
      <c r="C225" s="79" t="s">
        <v>371</v>
      </c>
      <c r="D225" s="85" t="s">
        <v>626</v>
      </c>
      <c r="E225" s="69" t="s">
        <v>22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765">
        <f t="shared" si="38"/>
        <v>0</v>
      </c>
      <c r="P225" s="22"/>
      <c r="Q225" s="23"/>
      <c r="R225" s="23"/>
      <c r="S225" s="810"/>
      <c r="T225" s="254"/>
      <c r="U225" s="22"/>
      <c r="V225" s="971"/>
      <c r="W225" s="254"/>
      <c r="X225" s="971"/>
      <c r="Y225" s="254"/>
      <c r="Z225" s="971"/>
      <c r="AA225" s="254"/>
      <c r="AB225" s="971"/>
    </row>
    <row r="226" spans="2:28" ht="21" hidden="1" outlineLevel="1">
      <c r="B226" s="788"/>
      <c r="C226" s="79" t="s">
        <v>372</v>
      </c>
      <c r="D226" s="85" t="s">
        <v>627</v>
      </c>
      <c r="E226" s="69" t="s">
        <v>22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765">
        <f t="shared" si="38"/>
        <v>0</v>
      </c>
      <c r="P226" s="22"/>
      <c r="Q226" s="23"/>
      <c r="R226" s="23"/>
      <c r="S226" s="810"/>
      <c r="T226" s="254"/>
      <c r="U226" s="22"/>
      <c r="V226" s="971"/>
      <c r="W226" s="254"/>
      <c r="X226" s="971"/>
      <c r="Y226" s="254"/>
      <c r="Z226" s="971"/>
      <c r="AA226" s="254"/>
      <c r="AB226" s="971"/>
    </row>
    <row r="227" spans="2:28" ht="21" hidden="1" outlineLevel="1">
      <c r="B227" s="788"/>
      <c r="C227" s="79" t="s">
        <v>373</v>
      </c>
      <c r="D227" s="80" t="s">
        <v>374</v>
      </c>
      <c r="E227" s="69" t="s">
        <v>22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765">
        <f t="shared" si="38"/>
        <v>0</v>
      </c>
      <c r="P227" s="22"/>
      <c r="Q227" s="23"/>
      <c r="R227" s="23"/>
      <c r="S227" s="810"/>
      <c r="T227" s="254"/>
      <c r="U227" s="22"/>
      <c r="V227" s="971"/>
      <c r="W227" s="254"/>
      <c r="X227" s="971"/>
      <c r="Y227" s="254"/>
      <c r="Z227" s="971"/>
      <c r="AA227" s="254"/>
      <c r="AB227" s="971"/>
    </row>
    <row r="228" spans="2:28" ht="21" hidden="1" outlineLevel="1">
      <c r="B228" s="788"/>
      <c r="C228" s="79" t="s">
        <v>375</v>
      </c>
      <c r="D228" s="84" t="s">
        <v>376</v>
      </c>
      <c r="E228" s="69" t="s">
        <v>22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/>
      <c r="O228" s="765">
        <f t="shared" si="38"/>
        <v>0</v>
      </c>
      <c r="P228" s="17">
        <v>0</v>
      </c>
      <c r="Q228" s="18">
        <v>0</v>
      </c>
      <c r="R228" s="18"/>
      <c r="S228" s="813"/>
      <c r="T228" s="1101">
        <v>0</v>
      </c>
      <c r="U228" s="17">
        <v>0</v>
      </c>
      <c r="V228" s="970"/>
      <c r="W228" s="1101">
        <v>0</v>
      </c>
      <c r="X228" s="970">
        <v>0</v>
      </c>
      <c r="Y228" s="1101">
        <v>0</v>
      </c>
      <c r="Z228" s="970">
        <v>0</v>
      </c>
      <c r="AA228" s="1101">
        <v>0</v>
      </c>
      <c r="AB228" s="970">
        <v>0</v>
      </c>
    </row>
    <row r="229" spans="2:28" ht="42" hidden="1" outlineLevel="1">
      <c r="B229" s="788"/>
      <c r="C229" s="79" t="s">
        <v>377</v>
      </c>
      <c r="D229" s="80" t="s">
        <v>378</v>
      </c>
      <c r="E229" s="69" t="s">
        <v>22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765">
        <f t="shared" si="38"/>
        <v>0</v>
      </c>
      <c r="P229" s="22"/>
      <c r="Q229" s="23"/>
      <c r="R229" s="23"/>
      <c r="S229" s="810"/>
      <c r="T229" s="254"/>
      <c r="U229" s="22"/>
      <c r="V229" s="971"/>
      <c r="W229" s="254"/>
      <c r="X229" s="971"/>
      <c r="Y229" s="254"/>
      <c r="Z229" s="971"/>
      <c r="AA229" s="254"/>
      <c r="AB229" s="971"/>
    </row>
    <row r="230" spans="2:28" ht="31.5" hidden="1" outlineLevel="1">
      <c r="B230" s="788"/>
      <c r="C230" s="79" t="s">
        <v>379</v>
      </c>
      <c r="D230" s="86" t="s">
        <v>380</v>
      </c>
      <c r="E230" s="69" t="s">
        <v>22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765">
        <f t="shared" si="38"/>
        <v>0</v>
      </c>
      <c r="P230" s="22"/>
      <c r="Q230" s="23"/>
      <c r="R230" s="23"/>
      <c r="S230" s="810"/>
      <c r="T230" s="254"/>
      <c r="U230" s="22"/>
      <c r="V230" s="971"/>
      <c r="W230" s="254"/>
      <c r="X230" s="971"/>
      <c r="Y230" s="254"/>
      <c r="Z230" s="971"/>
      <c r="AA230" s="254"/>
      <c r="AB230" s="971"/>
    </row>
    <row r="231" spans="2:28" ht="21" hidden="1" outlineLevel="1">
      <c r="B231" s="788"/>
      <c r="C231" s="79" t="s">
        <v>381</v>
      </c>
      <c r="D231" s="80" t="s">
        <v>382</v>
      </c>
      <c r="E231" s="69" t="s">
        <v>22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765">
        <f t="shared" si="38"/>
        <v>0</v>
      </c>
      <c r="P231" s="22"/>
      <c r="Q231" s="23"/>
      <c r="R231" s="23"/>
      <c r="S231" s="810"/>
      <c r="T231" s="254"/>
      <c r="U231" s="22"/>
      <c r="V231" s="971"/>
      <c r="W231" s="254"/>
      <c r="X231" s="971"/>
      <c r="Y231" s="254"/>
      <c r="Z231" s="971"/>
      <c r="AA231" s="254"/>
      <c r="AB231" s="971"/>
    </row>
    <row r="232" spans="2:28" ht="21" hidden="1" outlineLevel="1">
      <c r="B232" s="788"/>
      <c r="C232" s="79" t="s">
        <v>383</v>
      </c>
      <c r="D232" s="80" t="s">
        <v>348</v>
      </c>
      <c r="E232" s="69" t="s">
        <v>22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765">
        <f t="shared" si="38"/>
        <v>0</v>
      </c>
      <c r="P232" s="22"/>
      <c r="Q232" s="23"/>
      <c r="R232" s="23"/>
      <c r="S232" s="810"/>
      <c r="T232" s="254"/>
      <c r="U232" s="22"/>
      <c r="V232" s="971"/>
      <c r="W232" s="254"/>
      <c r="X232" s="971"/>
      <c r="Y232" s="254"/>
      <c r="Z232" s="971"/>
      <c r="AA232" s="254"/>
      <c r="AB232" s="971"/>
    </row>
    <row r="233" spans="2:28" ht="21" hidden="1" outlineLevel="1">
      <c r="B233" s="788"/>
      <c r="C233" s="79" t="s">
        <v>384</v>
      </c>
      <c r="D233" s="80" t="s">
        <v>385</v>
      </c>
      <c r="E233" s="69" t="s">
        <v>22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765">
        <f t="shared" si="38"/>
        <v>0</v>
      </c>
      <c r="P233" s="22"/>
      <c r="Q233" s="23"/>
      <c r="R233" s="23"/>
      <c r="S233" s="810"/>
      <c r="T233" s="254"/>
      <c r="U233" s="22"/>
      <c r="V233" s="971"/>
      <c r="W233" s="254"/>
      <c r="X233" s="971"/>
      <c r="Y233" s="254"/>
      <c r="Z233" s="971"/>
      <c r="AA233" s="254"/>
      <c r="AB233" s="971"/>
    </row>
    <row r="234" spans="2:28" ht="21" hidden="1" outlineLevel="1">
      <c r="B234" s="788"/>
      <c r="C234" s="79" t="s">
        <v>386</v>
      </c>
      <c r="D234" s="80" t="s">
        <v>387</v>
      </c>
      <c r="E234" s="69" t="s">
        <v>22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765">
        <f t="shared" si="38"/>
        <v>0</v>
      </c>
      <c r="P234" s="22"/>
      <c r="Q234" s="23"/>
      <c r="R234" s="23"/>
      <c r="S234" s="810"/>
      <c r="T234" s="254"/>
      <c r="U234" s="22"/>
      <c r="V234" s="971"/>
      <c r="W234" s="254"/>
      <c r="X234" s="971"/>
      <c r="Y234" s="254"/>
      <c r="Z234" s="971"/>
      <c r="AA234" s="254"/>
      <c r="AB234" s="971"/>
    </row>
    <row r="235" spans="2:28" ht="42" hidden="1" outlineLevel="1">
      <c r="B235" s="788"/>
      <c r="C235" s="79" t="s">
        <v>388</v>
      </c>
      <c r="D235" s="80" t="s">
        <v>389</v>
      </c>
      <c r="E235" s="69" t="s">
        <v>22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765">
        <f t="shared" si="38"/>
        <v>0</v>
      </c>
      <c r="P235" s="22"/>
      <c r="Q235" s="23"/>
      <c r="R235" s="23"/>
      <c r="S235" s="810"/>
      <c r="T235" s="254"/>
      <c r="U235" s="22"/>
      <c r="V235" s="971"/>
      <c r="W235" s="254"/>
      <c r="X235" s="971"/>
      <c r="Y235" s="254"/>
      <c r="Z235" s="971"/>
      <c r="AA235" s="254"/>
      <c r="AB235" s="971"/>
    </row>
    <row r="236" spans="2:28" ht="21" hidden="1" outlineLevel="1">
      <c r="B236" s="788"/>
      <c r="C236" s="79" t="s">
        <v>390</v>
      </c>
      <c r="D236" s="80" t="s">
        <v>300</v>
      </c>
      <c r="E236" s="69" t="s">
        <v>22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765">
        <f t="shared" si="38"/>
        <v>0</v>
      </c>
      <c r="P236" s="22"/>
      <c r="Q236" s="23"/>
      <c r="R236" s="23"/>
      <c r="S236" s="810"/>
      <c r="T236" s="254"/>
      <c r="U236" s="22"/>
      <c r="V236" s="971"/>
      <c r="W236" s="254"/>
      <c r="X236" s="971"/>
      <c r="Y236" s="254"/>
      <c r="Z236" s="971"/>
      <c r="AA236" s="254"/>
      <c r="AB236" s="971"/>
    </row>
    <row r="237" spans="2:28" ht="21" hidden="1" outlineLevel="1">
      <c r="B237" s="788"/>
      <c r="C237" s="79" t="s">
        <v>391</v>
      </c>
      <c r="D237" s="80" t="s">
        <v>392</v>
      </c>
      <c r="E237" s="69" t="s">
        <v>22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765">
        <f t="shared" si="38"/>
        <v>0</v>
      </c>
      <c r="P237" s="22"/>
      <c r="Q237" s="23"/>
      <c r="R237" s="23"/>
      <c r="S237" s="810"/>
      <c r="T237" s="254"/>
      <c r="U237" s="22"/>
      <c r="V237" s="971"/>
      <c r="W237" s="254"/>
      <c r="X237" s="971"/>
      <c r="Y237" s="254"/>
      <c r="Z237" s="971"/>
      <c r="AA237" s="254"/>
      <c r="AB237" s="971"/>
    </row>
    <row r="238" spans="2:28" ht="21" hidden="1" outlineLevel="1">
      <c r="B238" s="788"/>
      <c r="C238" s="79" t="s">
        <v>393</v>
      </c>
      <c r="D238" s="80" t="s">
        <v>394</v>
      </c>
      <c r="E238" s="69" t="s">
        <v>22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765">
        <f t="shared" si="38"/>
        <v>0</v>
      </c>
      <c r="P238" s="22"/>
      <c r="Q238" s="23"/>
      <c r="R238" s="23"/>
      <c r="S238" s="810"/>
      <c r="T238" s="254"/>
      <c r="U238" s="22"/>
      <c r="V238" s="971"/>
      <c r="W238" s="254"/>
      <c r="X238" s="971"/>
      <c r="Y238" s="254"/>
      <c r="Z238" s="971"/>
      <c r="AA238" s="254"/>
      <c r="AB238" s="971"/>
    </row>
    <row r="239" spans="2:28" ht="21" hidden="1" outlineLevel="1">
      <c r="B239" s="788"/>
      <c r="C239" s="79" t="s">
        <v>395</v>
      </c>
      <c r="D239" s="80" t="s">
        <v>396</v>
      </c>
      <c r="E239" s="69" t="s">
        <v>22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765">
        <f t="shared" si="38"/>
        <v>0</v>
      </c>
      <c r="P239" s="22"/>
      <c r="Q239" s="23"/>
      <c r="R239" s="23"/>
      <c r="S239" s="810"/>
      <c r="T239" s="254"/>
      <c r="U239" s="22"/>
      <c r="V239" s="971"/>
      <c r="W239" s="254"/>
      <c r="X239" s="971"/>
      <c r="Y239" s="254"/>
      <c r="Z239" s="971"/>
      <c r="AA239" s="254"/>
      <c r="AB239" s="971"/>
    </row>
    <row r="240" spans="2:28" ht="52.5" hidden="1" collapsed="1">
      <c r="B240" s="795"/>
      <c r="C240" s="83"/>
      <c r="D240" s="49" t="s">
        <v>397</v>
      </c>
      <c r="E240" s="64"/>
      <c r="F240" s="30"/>
      <c r="G240" s="30"/>
      <c r="H240" s="30"/>
      <c r="I240" s="30"/>
      <c r="J240" s="30"/>
      <c r="K240" s="30"/>
      <c r="L240" s="30"/>
      <c r="M240" s="30"/>
      <c r="N240" s="30"/>
      <c r="O240" s="765">
        <f t="shared" si="38"/>
        <v>0</v>
      </c>
      <c r="P240" s="30"/>
      <c r="Q240" s="31"/>
      <c r="R240" s="31"/>
      <c r="S240" s="812"/>
      <c r="T240" s="1103"/>
      <c r="U240" s="30"/>
      <c r="V240" s="973"/>
      <c r="W240" s="1103"/>
      <c r="X240" s="973"/>
      <c r="Y240" s="1103"/>
      <c r="Z240" s="973"/>
      <c r="AA240" s="1103"/>
      <c r="AB240" s="973"/>
    </row>
    <row r="241" spans="2:28" ht="21" hidden="1" outlineLevel="2">
      <c r="B241" s="796" t="s">
        <v>171</v>
      </c>
      <c r="C241" s="14" t="s">
        <v>398</v>
      </c>
      <c r="D241" s="88" t="s">
        <v>399</v>
      </c>
      <c r="E241" s="69" t="s">
        <v>22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765">
        <f t="shared" si="38"/>
        <v>0</v>
      </c>
      <c r="P241" s="22"/>
      <c r="Q241" s="23"/>
      <c r="R241" s="23"/>
      <c r="S241" s="810"/>
      <c r="T241" s="254"/>
      <c r="U241" s="22"/>
      <c r="V241" s="971"/>
      <c r="W241" s="254"/>
      <c r="X241" s="971"/>
      <c r="Y241" s="254"/>
      <c r="Z241" s="971"/>
      <c r="AA241" s="254"/>
      <c r="AB241" s="971"/>
    </row>
    <row r="242" spans="2:28" hidden="1" outlineLevel="2">
      <c r="B242" s="788"/>
      <c r="C242" s="28" t="s">
        <v>628</v>
      </c>
      <c r="D242" s="89" t="s">
        <v>400</v>
      </c>
      <c r="E242" s="69" t="s">
        <v>22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765">
        <f t="shared" si="38"/>
        <v>0</v>
      </c>
      <c r="P242" s="22"/>
      <c r="Q242" s="23"/>
      <c r="R242" s="23"/>
      <c r="S242" s="810"/>
      <c r="T242" s="254"/>
      <c r="U242" s="22"/>
      <c r="V242" s="971"/>
      <c r="W242" s="254"/>
      <c r="X242" s="971"/>
      <c r="Y242" s="254"/>
      <c r="Z242" s="971"/>
      <c r="AA242" s="254"/>
      <c r="AB242" s="971"/>
    </row>
    <row r="243" spans="2:28" ht="21" hidden="1" outlineLevel="2">
      <c r="B243" s="796" t="s">
        <v>171</v>
      </c>
      <c r="C243" s="14" t="s">
        <v>401</v>
      </c>
      <c r="D243" s="88" t="s">
        <v>402</v>
      </c>
      <c r="E243" s="69" t="s">
        <v>22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765">
        <f t="shared" si="38"/>
        <v>0</v>
      </c>
      <c r="P243" s="22"/>
      <c r="Q243" s="23"/>
      <c r="R243" s="23"/>
      <c r="S243" s="810"/>
      <c r="T243" s="254"/>
      <c r="U243" s="22"/>
      <c r="V243" s="971"/>
      <c r="W243" s="254"/>
      <c r="X243" s="971"/>
      <c r="Y243" s="254"/>
      <c r="Z243" s="971"/>
      <c r="AA243" s="254"/>
      <c r="AB243" s="971"/>
    </row>
    <row r="244" spans="2:28" hidden="1" outlineLevel="2">
      <c r="B244" s="788"/>
      <c r="C244" s="90"/>
      <c r="D244" s="78"/>
      <c r="E244" s="90"/>
      <c r="F244" s="30"/>
      <c r="G244" s="30"/>
      <c r="H244" s="30"/>
      <c r="I244" s="30"/>
      <c r="J244" s="30"/>
      <c r="K244" s="30"/>
      <c r="L244" s="30"/>
      <c r="M244" s="30"/>
      <c r="N244" s="30"/>
      <c r="O244" s="765">
        <f t="shared" si="38"/>
        <v>0</v>
      </c>
      <c r="P244" s="30"/>
      <c r="Q244" s="31"/>
      <c r="R244" s="31"/>
      <c r="S244" s="812"/>
      <c r="T244" s="1103"/>
      <c r="U244" s="30"/>
      <c r="V244" s="973"/>
      <c r="W244" s="1103"/>
      <c r="X244" s="973"/>
      <c r="Y244" s="1103"/>
      <c r="Z244" s="973"/>
      <c r="AA244" s="1103"/>
      <c r="AB244" s="973"/>
    </row>
    <row r="245" spans="2:28" ht="21" hidden="1" outlineLevel="2">
      <c r="B245" s="796" t="s">
        <v>171</v>
      </c>
      <c r="C245" s="14" t="s">
        <v>403</v>
      </c>
      <c r="D245" s="88" t="s">
        <v>404</v>
      </c>
      <c r="E245" s="16" t="s">
        <v>22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765">
        <f t="shared" si="38"/>
        <v>0</v>
      </c>
      <c r="P245" s="22"/>
      <c r="Q245" s="23"/>
      <c r="R245" s="23"/>
      <c r="S245" s="810"/>
      <c r="T245" s="254"/>
      <c r="U245" s="22"/>
      <c r="V245" s="971"/>
      <c r="W245" s="254"/>
      <c r="X245" s="971"/>
      <c r="Y245" s="254"/>
      <c r="Z245" s="971"/>
      <c r="AA245" s="254"/>
      <c r="AB245" s="971"/>
    </row>
    <row r="246" spans="2:28" hidden="1" outlineLevel="2">
      <c r="B246" s="788"/>
      <c r="C246" s="28" t="s">
        <v>629</v>
      </c>
      <c r="D246" s="89" t="s">
        <v>400</v>
      </c>
      <c r="E246" s="16" t="s">
        <v>22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765">
        <f t="shared" si="38"/>
        <v>0</v>
      </c>
      <c r="P246" s="22"/>
      <c r="Q246" s="23"/>
      <c r="R246" s="23"/>
      <c r="S246" s="810"/>
      <c r="T246" s="254"/>
      <c r="U246" s="22"/>
      <c r="V246" s="971"/>
      <c r="W246" s="254"/>
      <c r="X246" s="971"/>
      <c r="Y246" s="254"/>
      <c r="Z246" s="971"/>
      <c r="AA246" s="254"/>
      <c r="AB246" s="971"/>
    </row>
    <row r="247" spans="2:28" ht="21" hidden="1" outlineLevel="2">
      <c r="B247" s="796" t="s">
        <v>171</v>
      </c>
      <c r="C247" s="14" t="s">
        <v>405</v>
      </c>
      <c r="D247" s="88" t="s">
        <v>406</v>
      </c>
      <c r="E247" s="16" t="s">
        <v>22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765">
        <f t="shared" si="38"/>
        <v>0</v>
      </c>
      <c r="P247" s="22"/>
      <c r="Q247" s="23"/>
      <c r="R247" s="23"/>
      <c r="S247" s="810"/>
      <c r="T247" s="254"/>
      <c r="U247" s="22"/>
      <c r="V247" s="971"/>
      <c r="W247" s="254"/>
      <c r="X247" s="971"/>
      <c r="Y247" s="254"/>
      <c r="Z247" s="971"/>
      <c r="AA247" s="254"/>
      <c r="AB247" s="971"/>
    </row>
    <row r="248" spans="2:28" hidden="1" outlineLevel="2">
      <c r="B248" s="788"/>
      <c r="C248" s="28" t="s">
        <v>630</v>
      </c>
      <c r="D248" s="89" t="s">
        <v>400</v>
      </c>
      <c r="E248" s="16" t="s">
        <v>22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765">
        <f t="shared" si="38"/>
        <v>0</v>
      </c>
      <c r="P248" s="22"/>
      <c r="Q248" s="23"/>
      <c r="R248" s="23"/>
      <c r="S248" s="810"/>
      <c r="T248" s="254"/>
      <c r="U248" s="22"/>
      <c r="V248" s="971"/>
      <c r="W248" s="254"/>
      <c r="X248" s="971"/>
      <c r="Y248" s="254"/>
      <c r="Z248" s="971"/>
      <c r="AA248" s="254"/>
      <c r="AB248" s="971"/>
    </row>
    <row r="249" spans="2:28" ht="21" hidden="1" outlineLevel="2">
      <c r="B249" s="796" t="s">
        <v>171</v>
      </c>
      <c r="C249" s="14" t="s">
        <v>407</v>
      </c>
      <c r="D249" s="88" t="s">
        <v>408</v>
      </c>
      <c r="E249" s="16" t="s">
        <v>22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765">
        <f t="shared" si="38"/>
        <v>0</v>
      </c>
      <c r="P249" s="22"/>
      <c r="Q249" s="23"/>
      <c r="R249" s="23"/>
      <c r="S249" s="810"/>
      <c r="T249" s="254"/>
      <c r="U249" s="22"/>
      <c r="V249" s="971"/>
      <c r="W249" s="254"/>
      <c r="X249" s="971"/>
      <c r="Y249" s="254"/>
      <c r="Z249" s="971"/>
      <c r="AA249" s="254"/>
      <c r="AB249" s="971"/>
    </row>
    <row r="250" spans="2:28" hidden="1" outlineLevel="2">
      <c r="B250" s="788"/>
      <c r="C250" s="28" t="s">
        <v>631</v>
      </c>
      <c r="D250" s="89" t="s">
        <v>400</v>
      </c>
      <c r="E250" s="16" t="s">
        <v>22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765">
        <f t="shared" si="38"/>
        <v>0</v>
      </c>
      <c r="P250" s="22"/>
      <c r="Q250" s="23"/>
      <c r="R250" s="23"/>
      <c r="S250" s="810"/>
      <c r="T250" s="254"/>
      <c r="U250" s="22"/>
      <c r="V250" s="971"/>
      <c r="W250" s="254"/>
      <c r="X250" s="971"/>
      <c r="Y250" s="254"/>
      <c r="Z250" s="971"/>
      <c r="AA250" s="254"/>
      <c r="AB250" s="971"/>
    </row>
    <row r="251" spans="2:28" ht="21" hidden="1" outlineLevel="2">
      <c r="B251" s="796" t="s">
        <v>171</v>
      </c>
      <c r="C251" s="14" t="s">
        <v>409</v>
      </c>
      <c r="D251" s="88" t="s">
        <v>410</v>
      </c>
      <c r="E251" s="16" t="s">
        <v>22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765">
        <f t="shared" si="38"/>
        <v>0</v>
      </c>
      <c r="P251" s="22"/>
      <c r="Q251" s="23"/>
      <c r="R251" s="23"/>
      <c r="S251" s="810"/>
      <c r="T251" s="254"/>
      <c r="U251" s="22"/>
      <c r="V251" s="971"/>
      <c r="W251" s="254"/>
      <c r="X251" s="971"/>
      <c r="Y251" s="254"/>
      <c r="Z251" s="971"/>
      <c r="AA251" s="254"/>
      <c r="AB251" s="971"/>
    </row>
    <row r="252" spans="2:28" hidden="1" outlineLevel="2">
      <c r="B252" s="788"/>
      <c r="C252" s="28" t="s">
        <v>632</v>
      </c>
      <c r="D252" s="89" t="s">
        <v>400</v>
      </c>
      <c r="E252" s="16" t="s">
        <v>22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765">
        <f t="shared" si="38"/>
        <v>0</v>
      </c>
      <c r="P252" s="22"/>
      <c r="Q252" s="23"/>
      <c r="R252" s="23"/>
      <c r="S252" s="810"/>
      <c r="T252" s="254"/>
      <c r="U252" s="22"/>
      <c r="V252" s="971"/>
      <c r="W252" s="254"/>
      <c r="X252" s="971"/>
      <c r="Y252" s="254"/>
      <c r="Z252" s="971"/>
      <c r="AA252" s="254"/>
      <c r="AB252" s="971"/>
    </row>
    <row r="253" spans="2:28" ht="21" hidden="1" outlineLevel="2">
      <c r="B253" s="796" t="s">
        <v>171</v>
      </c>
      <c r="C253" s="14" t="s">
        <v>411</v>
      </c>
      <c r="D253" s="88" t="s">
        <v>412</v>
      </c>
      <c r="E253" s="16" t="s">
        <v>22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765">
        <f t="shared" si="38"/>
        <v>0</v>
      </c>
      <c r="P253" s="22"/>
      <c r="Q253" s="23"/>
      <c r="R253" s="23"/>
      <c r="S253" s="810"/>
      <c r="T253" s="254"/>
      <c r="U253" s="22"/>
      <c r="V253" s="971"/>
      <c r="W253" s="254"/>
      <c r="X253" s="971"/>
      <c r="Y253" s="254"/>
      <c r="Z253" s="971"/>
      <c r="AA253" s="254"/>
      <c r="AB253" s="971"/>
    </row>
    <row r="254" spans="2:28" hidden="1" outlineLevel="2">
      <c r="B254" s="788"/>
      <c r="C254" s="28" t="s">
        <v>633</v>
      </c>
      <c r="D254" s="89" t="s">
        <v>400</v>
      </c>
      <c r="E254" s="16" t="s">
        <v>22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765">
        <f t="shared" si="38"/>
        <v>0</v>
      </c>
      <c r="P254" s="22"/>
      <c r="Q254" s="23"/>
      <c r="R254" s="23"/>
      <c r="S254" s="810"/>
      <c r="T254" s="254"/>
      <c r="U254" s="22"/>
      <c r="V254" s="971"/>
      <c r="W254" s="254"/>
      <c r="X254" s="971"/>
      <c r="Y254" s="254"/>
      <c r="Z254" s="971"/>
      <c r="AA254" s="254"/>
      <c r="AB254" s="971"/>
    </row>
    <row r="255" spans="2:28" ht="21" hidden="1" outlineLevel="2">
      <c r="B255" s="796" t="s">
        <v>171</v>
      </c>
      <c r="C255" s="14" t="s">
        <v>413</v>
      </c>
      <c r="D255" s="88" t="s">
        <v>414</v>
      </c>
      <c r="E255" s="16" t="s">
        <v>22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765">
        <f t="shared" si="38"/>
        <v>0</v>
      </c>
      <c r="P255" s="22"/>
      <c r="Q255" s="23"/>
      <c r="R255" s="23"/>
      <c r="S255" s="810"/>
      <c r="T255" s="254"/>
      <c r="U255" s="22"/>
      <c r="V255" s="971"/>
      <c r="W255" s="254"/>
      <c r="X255" s="971"/>
      <c r="Y255" s="254"/>
      <c r="Z255" s="971"/>
      <c r="AA255" s="254"/>
      <c r="AB255" s="971"/>
    </row>
    <row r="256" spans="2:28" hidden="1" outlineLevel="2">
      <c r="B256" s="788"/>
      <c r="C256" s="28" t="s">
        <v>634</v>
      </c>
      <c r="D256" s="89" t="s">
        <v>400</v>
      </c>
      <c r="E256" s="16" t="s">
        <v>22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765">
        <f t="shared" si="38"/>
        <v>0</v>
      </c>
      <c r="P256" s="22"/>
      <c r="Q256" s="23"/>
      <c r="R256" s="23"/>
      <c r="S256" s="810"/>
      <c r="T256" s="254"/>
      <c r="U256" s="22"/>
      <c r="V256" s="971"/>
      <c r="W256" s="254"/>
      <c r="X256" s="971"/>
      <c r="Y256" s="254"/>
      <c r="Z256" s="971"/>
      <c r="AA256" s="254"/>
      <c r="AB256" s="971"/>
    </row>
    <row r="257" spans="2:28" ht="21" hidden="1" outlineLevel="2">
      <c r="B257" s="796" t="s">
        <v>171</v>
      </c>
      <c r="C257" s="14" t="s">
        <v>415</v>
      </c>
      <c r="D257" s="88" t="s">
        <v>416</v>
      </c>
      <c r="E257" s="16" t="s">
        <v>22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765">
        <f t="shared" si="38"/>
        <v>0</v>
      </c>
      <c r="P257" s="22"/>
      <c r="Q257" s="23"/>
      <c r="R257" s="23"/>
      <c r="S257" s="810"/>
      <c r="T257" s="254"/>
      <c r="U257" s="22"/>
      <c r="V257" s="971"/>
      <c r="W257" s="254"/>
      <c r="X257" s="971"/>
      <c r="Y257" s="254"/>
      <c r="Z257" s="971"/>
      <c r="AA257" s="254"/>
      <c r="AB257" s="971"/>
    </row>
    <row r="258" spans="2:28" hidden="1" outlineLevel="2">
      <c r="B258" s="788"/>
      <c r="C258" s="28" t="s">
        <v>635</v>
      </c>
      <c r="D258" s="89" t="s">
        <v>400</v>
      </c>
      <c r="E258" s="16" t="s">
        <v>22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765">
        <f t="shared" si="38"/>
        <v>0</v>
      </c>
      <c r="P258" s="22"/>
      <c r="Q258" s="23"/>
      <c r="R258" s="23"/>
      <c r="S258" s="810"/>
      <c r="T258" s="254"/>
      <c r="U258" s="22"/>
      <c r="V258" s="971"/>
      <c r="W258" s="254"/>
      <c r="X258" s="971"/>
      <c r="Y258" s="254"/>
      <c r="Z258" s="971"/>
      <c r="AA258" s="254"/>
      <c r="AB258" s="971"/>
    </row>
    <row r="259" spans="2:28" hidden="1" collapsed="1">
      <c r="B259" s="788"/>
      <c r="C259" s="90"/>
      <c r="D259" s="90"/>
      <c r="E259" s="90"/>
      <c r="F259" s="74"/>
      <c r="G259" s="74"/>
      <c r="H259" s="74"/>
      <c r="I259" s="74"/>
      <c r="J259" s="74"/>
      <c r="K259" s="74"/>
      <c r="L259" s="74"/>
      <c r="M259" s="74"/>
      <c r="N259" s="74"/>
      <c r="O259" s="765">
        <f t="shared" si="38"/>
        <v>0</v>
      </c>
      <c r="P259" s="74"/>
      <c r="Q259" s="75"/>
      <c r="R259" s="75"/>
      <c r="S259" s="821"/>
      <c r="T259" s="1109"/>
      <c r="U259" s="74"/>
      <c r="V259" s="980"/>
      <c r="W259" s="1109"/>
      <c r="X259" s="980"/>
      <c r="Y259" s="1109"/>
      <c r="Z259" s="980"/>
      <c r="AA259" s="1109"/>
      <c r="AB259" s="980"/>
    </row>
    <row r="260" spans="2:28" hidden="1">
      <c r="B260" s="788"/>
      <c r="C260" s="14"/>
      <c r="D260" s="83" t="s">
        <v>417</v>
      </c>
      <c r="E260" s="91"/>
      <c r="F260" s="30"/>
      <c r="G260" s="30"/>
      <c r="H260" s="30"/>
      <c r="I260" s="30"/>
      <c r="J260" s="30"/>
      <c r="K260" s="30"/>
      <c r="L260" s="30"/>
      <c r="M260" s="30"/>
      <c r="N260" s="30"/>
      <c r="O260" s="765">
        <f t="shared" si="38"/>
        <v>0</v>
      </c>
      <c r="P260" s="30"/>
      <c r="Q260" s="31"/>
      <c r="R260" s="31"/>
      <c r="S260" s="812"/>
      <c r="T260" s="1103"/>
      <c r="U260" s="30"/>
      <c r="V260" s="973"/>
      <c r="W260" s="1103"/>
      <c r="X260" s="973"/>
      <c r="Y260" s="1103"/>
      <c r="Z260" s="973"/>
      <c r="AA260" s="1103"/>
      <c r="AB260" s="973"/>
    </row>
    <row r="261" spans="2:28" hidden="1" outlineLevel="1">
      <c r="B261" s="788"/>
      <c r="C261" s="62"/>
      <c r="D261" s="63"/>
      <c r="E261" s="64"/>
      <c r="F261" s="92"/>
      <c r="G261" s="92"/>
      <c r="H261" s="92"/>
      <c r="I261" s="92"/>
      <c r="J261" s="92"/>
      <c r="K261" s="92"/>
      <c r="L261" s="92"/>
      <c r="M261" s="92"/>
      <c r="N261" s="92"/>
      <c r="O261" s="765">
        <f t="shared" si="38"/>
        <v>0</v>
      </c>
      <c r="P261" s="92"/>
      <c r="Q261" s="93"/>
      <c r="R261" s="93"/>
      <c r="S261" s="824"/>
      <c r="T261" s="1111"/>
      <c r="U261" s="92"/>
      <c r="V261" s="982"/>
      <c r="W261" s="1111"/>
      <c r="X261" s="982"/>
      <c r="Y261" s="1111"/>
      <c r="Z261" s="982"/>
      <c r="AA261" s="1111"/>
      <c r="AB261" s="982"/>
    </row>
    <row r="262" spans="2:28" ht="21" hidden="1" outlineLevel="1">
      <c r="B262" s="788"/>
      <c r="C262" s="14" t="s">
        <v>418</v>
      </c>
      <c r="D262" s="94" t="s">
        <v>419</v>
      </c>
      <c r="E262" s="95" t="s">
        <v>353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765">
        <f t="shared" si="38"/>
        <v>0</v>
      </c>
      <c r="P262" s="22"/>
      <c r="Q262" s="23"/>
      <c r="R262" s="23"/>
      <c r="S262" s="810"/>
      <c r="T262" s="254"/>
      <c r="U262" s="22"/>
      <c r="V262" s="971"/>
      <c r="W262" s="254"/>
      <c r="X262" s="971"/>
      <c r="Y262" s="254"/>
      <c r="Z262" s="971"/>
      <c r="AA262" s="254"/>
      <c r="AB262" s="971"/>
    </row>
    <row r="263" spans="2:28" hidden="1" outlineLevel="1">
      <c r="B263" s="788"/>
      <c r="C263" s="14" t="s">
        <v>420</v>
      </c>
      <c r="D263" s="94" t="s">
        <v>421</v>
      </c>
      <c r="E263" s="95" t="s">
        <v>353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765">
        <f t="shared" si="38"/>
        <v>0</v>
      </c>
      <c r="P263" s="22"/>
      <c r="Q263" s="23"/>
      <c r="R263" s="23"/>
      <c r="S263" s="810"/>
      <c r="T263" s="254"/>
      <c r="U263" s="22"/>
      <c r="V263" s="971"/>
      <c r="W263" s="254"/>
      <c r="X263" s="971"/>
      <c r="Y263" s="254"/>
      <c r="Z263" s="971"/>
      <c r="AA263" s="254"/>
      <c r="AB263" s="971"/>
    </row>
    <row r="264" spans="2:28" hidden="1" outlineLevel="1">
      <c r="B264" s="788"/>
      <c r="C264" s="14" t="s">
        <v>422</v>
      </c>
      <c r="D264" s="94" t="s">
        <v>423</v>
      </c>
      <c r="E264" s="95" t="s">
        <v>353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765">
        <f t="shared" si="38"/>
        <v>0</v>
      </c>
      <c r="P264" s="22"/>
      <c r="Q264" s="23"/>
      <c r="R264" s="23"/>
      <c r="S264" s="810"/>
      <c r="T264" s="254"/>
      <c r="U264" s="22"/>
      <c r="V264" s="971"/>
      <c r="W264" s="254"/>
      <c r="X264" s="971"/>
      <c r="Y264" s="254"/>
      <c r="Z264" s="971"/>
      <c r="AA264" s="254"/>
      <c r="AB264" s="971"/>
    </row>
    <row r="265" spans="2:28" outlineLevel="1">
      <c r="B265" s="788"/>
      <c r="C265" s="62"/>
      <c r="D265" s="63"/>
      <c r="E265" s="64"/>
      <c r="F265" s="74"/>
      <c r="G265" s="74"/>
      <c r="H265" s="74"/>
      <c r="I265" s="74"/>
      <c r="J265" s="74"/>
      <c r="K265" s="74"/>
      <c r="L265" s="74"/>
      <c r="M265" s="74"/>
      <c r="N265" s="74"/>
      <c r="O265" s="765">
        <f t="shared" si="38"/>
        <v>0</v>
      </c>
      <c r="P265" s="74"/>
      <c r="Q265" s="75"/>
      <c r="R265" s="75"/>
      <c r="S265" s="821"/>
      <c r="T265" s="1109"/>
      <c r="U265" s="74"/>
      <c r="V265" s="980"/>
      <c r="W265" s="1109"/>
      <c r="X265" s="980"/>
      <c r="Y265" s="1109"/>
      <c r="Z265" s="980"/>
      <c r="AA265" s="1109"/>
      <c r="AB265" s="980"/>
    </row>
    <row r="266" spans="2:28" outlineLevel="1">
      <c r="B266" s="788"/>
      <c r="C266" s="14" t="s">
        <v>424</v>
      </c>
      <c r="D266" s="94" t="s">
        <v>425</v>
      </c>
      <c r="E266" s="95" t="s">
        <v>22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16834.95</v>
      </c>
      <c r="M266" s="17">
        <v>0</v>
      </c>
      <c r="N266" s="17"/>
      <c r="O266" s="765">
        <f t="shared" ref="O266:O328" si="41">N266-L266</f>
        <v>-16834.95</v>
      </c>
      <c r="P266" s="17">
        <v>114871.01300000001</v>
      </c>
      <c r="Q266" s="18">
        <v>-38022.900216063645</v>
      </c>
      <c r="R266" s="18"/>
      <c r="S266" s="813"/>
      <c r="T266" s="1101">
        <v>0</v>
      </c>
      <c r="U266" s="17">
        <v>0</v>
      </c>
      <c r="V266" s="970"/>
      <c r="W266" s="1101">
        <v>0</v>
      </c>
      <c r="X266" s="970">
        <v>0</v>
      </c>
      <c r="Y266" s="1101">
        <v>0</v>
      </c>
      <c r="Z266" s="970">
        <f>Z268+Z271+Z267</f>
        <v>-40091.279999999999</v>
      </c>
      <c r="AA266" s="1101">
        <v>0</v>
      </c>
      <c r="AB266" s="970">
        <v>0</v>
      </c>
    </row>
    <row r="267" spans="2:28" outlineLevel="1">
      <c r="B267" s="788"/>
      <c r="C267" s="14"/>
      <c r="D267" s="94" t="s">
        <v>1830</v>
      </c>
      <c r="E267" s="95"/>
      <c r="F267" s="17"/>
      <c r="G267" s="17"/>
      <c r="H267" s="17"/>
      <c r="I267" s="17"/>
      <c r="J267" s="17"/>
      <c r="K267" s="17"/>
      <c r="L267" s="17"/>
      <c r="M267" s="17"/>
      <c r="N267" s="17"/>
      <c r="O267" s="765"/>
      <c r="P267" s="17"/>
      <c r="Q267" s="18"/>
      <c r="R267" s="18"/>
      <c r="S267" s="813"/>
      <c r="T267" s="1101"/>
      <c r="U267" s="17"/>
      <c r="V267" s="970"/>
      <c r="W267" s="1101"/>
      <c r="X267" s="970"/>
      <c r="Y267" s="1101"/>
      <c r="Z267" s="970">
        <v>19882.05</v>
      </c>
      <c r="AA267" s="1101"/>
      <c r="AB267" s="970"/>
    </row>
    <row r="268" spans="2:28" ht="42" outlineLevel="1">
      <c r="B268" s="788"/>
      <c r="C268" s="14" t="s">
        <v>426</v>
      </c>
      <c r="D268" s="96" t="s">
        <v>427</v>
      </c>
      <c r="E268" s="95" t="s">
        <v>22</v>
      </c>
      <c r="F268" s="22"/>
      <c r="G268" s="22"/>
      <c r="H268" s="22"/>
      <c r="I268" s="22"/>
      <c r="J268" s="22"/>
      <c r="K268" s="22"/>
      <c r="L268" s="22">
        <v>16834.95</v>
      </c>
      <c r="M268" s="22"/>
      <c r="N268" s="22"/>
      <c r="O268" s="765">
        <f t="shared" si="41"/>
        <v>-16834.95</v>
      </c>
      <c r="P268" s="22">
        <v>114871.01300000001</v>
      </c>
      <c r="Q268" s="23">
        <v>-35773.167186353232</v>
      </c>
      <c r="R268" s="23"/>
      <c r="S268" s="810"/>
      <c r="T268" s="254"/>
      <c r="U268" s="22">
        <v>30227.83</v>
      </c>
      <c r="V268" s="971"/>
      <c r="W268" s="254">
        <v>33000</v>
      </c>
      <c r="X268" s="971">
        <f>'Расчёт ВС методом индексации'!W42</f>
        <v>37700</v>
      </c>
      <c r="Y268" s="254"/>
      <c r="Z268" s="971">
        <v>5260.48</v>
      </c>
      <c r="AA268" s="254"/>
      <c r="AB268" s="971"/>
    </row>
    <row r="269" spans="2:28" ht="84" outlineLevel="1">
      <c r="B269" s="788"/>
      <c r="C269" s="14" t="s">
        <v>428</v>
      </c>
      <c r="D269" s="96" t="s">
        <v>429</v>
      </c>
      <c r="E269" s="95" t="s">
        <v>22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765">
        <f t="shared" si="41"/>
        <v>0</v>
      </c>
      <c r="P269" s="22"/>
      <c r="Q269" s="23">
        <v>6949.9249682497202</v>
      </c>
      <c r="R269" s="23"/>
      <c r="S269" s="810"/>
      <c r="T269" s="254"/>
      <c r="U269" s="22">
        <v>-1947.44</v>
      </c>
      <c r="V269" s="971"/>
      <c r="W269" s="254"/>
      <c r="X269" s="971">
        <f>'Расчёт ВС методом индексации'!W34</f>
        <v>39454.043048171094</v>
      </c>
      <c r="Y269" s="254"/>
      <c r="Z269" s="971"/>
      <c r="AA269" s="254"/>
      <c r="AB269" s="971"/>
    </row>
    <row r="270" spans="2:28" ht="42" outlineLevel="1">
      <c r="B270" s="788"/>
      <c r="C270" s="14" t="s">
        <v>430</v>
      </c>
      <c r="D270" s="96" t="s">
        <v>1354</v>
      </c>
      <c r="E270" s="95" t="s">
        <v>22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765">
        <f t="shared" si="41"/>
        <v>0</v>
      </c>
      <c r="P270" s="22"/>
      <c r="Q270" s="23"/>
      <c r="R270" s="23"/>
      <c r="S270" s="810"/>
      <c r="T270" s="254"/>
      <c r="U270" s="22">
        <v>-1947.44</v>
      </c>
      <c r="V270" s="971"/>
      <c r="W270" s="254"/>
      <c r="X270" s="971">
        <f>'Расчёт ВС методом индексации'!W37</f>
        <v>60702.87</v>
      </c>
      <c r="Y270" s="254"/>
      <c r="Z270" s="971"/>
      <c r="AA270" s="254"/>
      <c r="AB270" s="971"/>
    </row>
    <row r="271" spans="2:28" ht="63" outlineLevel="1">
      <c r="B271" s="788"/>
      <c r="C271" s="14" t="s">
        <v>432</v>
      </c>
      <c r="D271" s="96" t="s">
        <v>433</v>
      </c>
      <c r="E271" s="95" t="s">
        <v>22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765">
        <f t="shared" si="41"/>
        <v>0</v>
      </c>
      <c r="P271" s="22"/>
      <c r="Q271" s="23">
        <v>-6432.4179979601358</v>
      </c>
      <c r="R271" s="23"/>
      <c r="S271" s="810"/>
      <c r="T271" s="254"/>
      <c r="U271" s="22"/>
      <c r="V271" s="971"/>
      <c r="W271" s="254"/>
      <c r="X271" s="971">
        <f>'Расчёт ВС методом индексации'!W38</f>
        <v>-85618.77999999997</v>
      </c>
      <c r="Y271" s="254"/>
      <c r="Z271" s="971">
        <v>-65233.81</v>
      </c>
      <c r="AA271" s="254"/>
      <c r="AB271" s="971"/>
    </row>
    <row r="272" spans="2:28" ht="304.5" hidden="1" outlineLevel="1">
      <c r="B272" s="788"/>
      <c r="C272" s="14" t="s">
        <v>434</v>
      </c>
      <c r="D272" s="97" t="s">
        <v>435</v>
      </c>
      <c r="E272" s="95" t="s">
        <v>22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765">
        <f t="shared" si="41"/>
        <v>0</v>
      </c>
      <c r="P272" s="22"/>
      <c r="Q272" s="23"/>
      <c r="R272" s="23"/>
      <c r="S272" s="810"/>
      <c r="T272" s="254"/>
      <c r="U272" s="22"/>
      <c r="V272" s="971"/>
      <c r="W272" s="254"/>
      <c r="X272" s="971"/>
      <c r="Y272" s="254"/>
      <c r="Z272" s="971"/>
      <c r="AA272" s="254"/>
      <c r="AB272" s="971"/>
    </row>
    <row r="273" spans="2:28" ht="84" hidden="1" outlineLevel="1">
      <c r="B273" s="788"/>
      <c r="C273" s="14" t="s">
        <v>436</v>
      </c>
      <c r="D273" s="97" t="s">
        <v>437</v>
      </c>
      <c r="E273" s="95" t="s">
        <v>22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765">
        <f t="shared" si="41"/>
        <v>0</v>
      </c>
      <c r="P273" s="22"/>
      <c r="Q273" s="23">
        <v>-2767.2400000000007</v>
      </c>
      <c r="R273" s="23"/>
      <c r="S273" s="810"/>
      <c r="T273" s="254"/>
      <c r="U273" s="22"/>
      <c r="V273" s="971"/>
      <c r="W273" s="254"/>
      <c r="X273" s="971"/>
      <c r="Y273" s="254"/>
      <c r="Z273" s="971"/>
      <c r="AA273" s="254"/>
      <c r="AB273" s="971"/>
    </row>
    <row r="274" spans="2:28" outlineLevel="1">
      <c r="B274" s="788"/>
      <c r="C274" s="14"/>
      <c r="D274" s="97" t="s">
        <v>1399</v>
      </c>
      <c r="E274" s="95"/>
      <c r="F274" s="22"/>
      <c r="G274" s="22"/>
      <c r="H274" s="22"/>
      <c r="I274" s="22"/>
      <c r="J274" s="22"/>
      <c r="K274" s="22"/>
      <c r="L274" s="22"/>
      <c r="M274" s="22"/>
      <c r="N274" s="22"/>
      <c r="O274" s="765"/>
      <c r="P274" s="22"/>
      <c r="Q274" s="23"/>
      <c r="R274" s="23"/>
      <c r="S274" s="810"/>
      <c r="T274" s="254"/>
      <c r="U274" s="22"/>
      <c r="V274" s="971"/>
      <c r="W274" s="254"/>
      <c r="X274" s="971">
        <f>'Расчёт ВС методом индексации'!W41</f>
        <v>-30883.094921724256</v>
      </c>
      <c r="Y274" s="254"/>
      <c r="Z274" s="971">
        <v>-30833.09</v>
      </c>
      <c r="AA274" s="254"/>
      <c r="AB274" s="971"/>
    </row>
    <row r="275" spans="2:28" outlineLevel="1">
      <c r="B275" s="788"/>
      <c r="C275" s="14" t="s">
        <v>438</v>
      </c>
      <c r="D275" s="98" t="s">
        <v>439</v>
      </c>
      <c r="E275" s="95" t="s">
        <v>22</v>
      </c>
      <c r="F275" s="22"/>
      <c r="G275" s="22"/>
      <c r="H275" s="22"/>
      <c r="I275" s="22"/>
      <c r="J275" s="22"/>
      <c r="K275" s="22"/>
      <c r="L275" s="92">
        <v>16834.95</v>
      </c>
      <c r="M275" s="22"/>
      <c r="N275" s="22"/>
      <c r="O275" s="765">
        <f t="shared" si="41"/>
        <v>-16834.95</v>
      </c>
      <c r="P275" s="22">
        <v>114718.01</v>
      </c>
      <c r="Q275" s="23">
        <v>-38022.900216063645</v>
      </c>
      <c r="R275" s="23"/>
      <c r="S275" s="810"/>
      <c r="T275" s="254"/>
      <c r="U275" s="22"/>
      <c r="V275" s="971"/>
      <c r="W275" s="254"/>
      <c r="X275" s="971">
        <f>SUM(X266:X274)</f>
        <v>21355.038126446863</v>
      </c>
      <c r="Y275" s="254"/>
      <c r="Z275" s="971"/>
      <c r="AA275" s="254"/>
      <c r="AB275" s="971"/>
    </row>
    <row r="276" spans="2:28" outlineLevel="1">
      <c r="B276" s="788"/>
      <c r="C276" s="14" t="s">
        <v>440</v>
      </c>
      <c r="D276" s="98" t="s">
        <v>441</v>
      </c>
      <c r="E276" s="95" t="s">
        <v>22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765">
        <f t="shared" si="41"/>
        <v>0</v>
      </c>
      <c r="P276" s="22"/>
      <c r="Q276" s="23"/>
      <c r="R276" s="23"/>
      <c r="S276" s="810"/>
      <c r="T276" s="254"/>
      <c r="U276" s="22">
        <v>-43795.74</v>
      </c>
      <c r="V276" s="971"/>
      <c r="W276" s="254"/>
      <c r="X276" s="971">
        <v>-65217.35</v>
      </c>
      <c r="Y276" s="254"/>
      <c r="Z276" s="971">
        <v>40276.22</v>
      </c>
      <c r="AA276" s="254"/>
      <c r="AB276" s="971"/>
    </row>
    <row r="277" spans="2:28" hidden="1" outlineLevel="1">
      <c r="B277" s="788"/>
      <c r="C277" s="62"/>
      <c r="D277" s="63"/>
      <c r="E277" s="64"/>
      <c r="F277" s="74"/>
      <c r="G277" s="74"/>
      <c r="H277" s="74"/>
      <c r="I277" s="74"/>
      <c r="J277" s="74"/>
      <c r="K277" s="74"/>
      <c r="L277" s="74"/>
      <c r="M277" s="74"/>
      <c r="N277" s="74"/>
      <c r="O277" s="765">
        <f t="shared" si="41"/>
        <v>0</v>
      </c>
      <c r="P277" s="74"/>
      <c r="Q277" s="75"/>
      <c r="R277" s="75"/>
      <c r="S277" s="821"/>
      <c r="T277" s="1109"/>
      <c r="U277" s="74"/>
      <c r="V277" s="980"/>
      <c r="W277" s="1109"/>
      <c r="X277" s="980"/>
      <c r="Y277" s="1109"/>
      <c r="Z277" s="980"/>
      <c r="AA277" s="1109"/>
      <c r="AB277" s="980"/>
    </row>
    <row r="278" spans="2:28" ht="21" hidden="1">
      <c r="B278" s="788"/>
      <c r="C278" s="14"/>
      <c r="D278" s="83" t="s">
        <v>442</v>
      </c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765">
        <f t="shared" si="41"/>
        <v>0</v>
      </c>
      <c r="P278" s="92"/>
      <c r="Q278" s="93"/>
      <c r="R278" s="93"/>
      <c r="S278" s="824"/>
      <c r="T278" s="1111"/>
      <c r="U278" s="92"/>
      <c r="V278" s="982"/>
      <c r="W278" s="1111"/>
      <c r="X278" s="982"/>
      <c r="Y278" s="1111"/>
      <c r="Z278" s="982"/>
      <c r="AA278" s="1111"/>
      <c r="AB278" s="982"/>
    </row>
    <row r="279" spans="2:28" hidden="1" outlineLevel="1">
      <c r="B279" s="788"/>
      <c r="C279" s="62"/>
      <c r="D279" s="63"/>
      <c r="E279" s="64"/>
      <c r="F279" s="92"/>
      <c r="G279" s="92"/>
      <c r="H279" s="92"/>
      <c r="I279" s="92"/>
      <c r="J279" s="92"/>
      <c r="K279" s="92"/>
      <c r="L279" s="92"/>
      <c r="M279" s="92"/>
      <c r="N279" s="92"/>
      <c r="O279" s="765">
        <f t="shared" si="41"/>
        <v>0</v>
      </c>
      <c r="P279" s="92"/>
      <c r="Q279" s="93"/>
      <c r="R279" s="93"/>
      <c r="S279" s="824"/>
      <c r="T279" s="1111"/>
      <c r="U279" s="92"/>
      <c r="V279" s="982"/>
      <c r="W279" s="1111"/>
      <c r="X279" s="982"/>
      <c r="Y279" s="1111"/>
      <c r="Z279" s="982"/>
      <c r="AA279" s="1111"/>
      <c r="AB279" s="982"/>
    </row>
    <row r="280" spans="2:28" ht="21" hidden="1" outlineLevel="1">
      <c r="B280" s="788"/>
      <c r="C280" s="14" t="s">
        <v>443</v>
      </c>
      <c r="D280" s="94" t="s">
        <v>419</v>
      </c>
      <c r="E280" s="95" t="s">
        <v>353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765">
        <f t="shared" si="41"/>
        <v>0</v>
      </c>
      <c r="P280" s="92"/>
      <c r="Q280" s="93"/>
      <c r="R280" s="93"/>
      <c r="S280" s="824"/>
      <c r="T280" s="1111"/>
      <c r="U280" s="92"/>
      <c r="V280" s="982"/>
      <c r="W280" s="1111"/>
      <c r="X280" s="982"/>
      <c r="Y280" s="1111"/>
      <c r="Z280" s="982"/>
      <c r="AA280" s="1111"/>
      <c r="AB280" s="982"/>
    </row>
    <row r="281" spans="2:28" hidden="1" outlineLevel="1">
      <c r="B281" s="788"/>
      <c r="C281" s="14" t="s">
        <v>444</v>
      </c>
      <c r="D281" s="94" t="s">
        <v>421</v>
      </c>
      <c r="E281" s="95" t="s">
        <v>353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765">
        <f t="shared" si="41"/>
        <v>0</v>
      </c>
      <c r="P281" s="92"/>
      <c r="Q281" s="93"/>
      <c r="R281" s="93"/>
      <c r="S281" s="824"/>
      <c r="T281" s="1111"/>
      <c r="U281" s="92"/>
      <c r="V281" s="982"/>
      <c r="W281" s="1111"/>
      <c r="X281" s="982"/>
      <c r="Y281" s="1111"/>
      <c r="Z281" s="982"/>
      <c r="AA281" s="1111"/>
      <c r="AB281" s="982"/>
    </row>
    <row r="282" spans="2:28" hidden="1" outlineLevel="1">
      <c r="B282" s="788"/>
      <c r="C282" s="14" t="s">
        <v>445</v>
      </c>
      <c r="D282" s="94" t="s">
        <v>423</v>
      </c>
      <c r="E282" s="95" t="s">
        <v>353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765">
        <f t="shared" si="41"/>
        <v>0</v>
      </c>
      <c r="P282" s="92"/>
      <c r="Q282" s="93"/>
      <c r="R282" s="93"/>
      <c r="S282" s="824"/>
      <c r="T282" s="1111"/>
      <c r="U282" s="92"/>
      <c r="V282" s="982"/>
      <c r="W282" s="1111"/>
      <c r="X282" s="982"/>
      <c r="Y282" s="1111"/>
      <c r="Z282" s="982"/>
      <c r="AA282" s="1111"/>
      <c r="AB282" s="982"/>
    </row>
    <row r="283" spans="2:28" hidden="1" outlineLevel="1">
      <c r="B283" s="788"/>
      <c r="C283" s="62"/>
      <c r="D283" s="63"/>
      <c r="E283" s="64"/>
      <c r="F283" s="92"/>
      <c r="G283" s="92"/>
      <c r="H283" s="92"/>
      <c r="I283" s="92"/>
      <c r="J283" s="92"/>
      <c r="K283" s="92"/>
      <c r="L283" s="92"/>
      <c r="M283" s="92"/>
      <c r="N283" s="92"/>
      <c r="O283" s="765">
        <f t="shared" si="41"/>
        <v>0</v>
      </c>
      <c r="P283" s="92"/>
      <c r="Q283" s="93"/>
      <c r="R283" s="93"/>
      <c r="S283" s="824"/>
      <c r="T283" s="1111"/>
      <c r="U283" s="92"/>
      <c r="V283" s="982"/>
      <c r="W283" s="1111"/>
      <c r="X283" s="982"/>
      <c r="Y283" s="1111"/>
      <c r="Z283" s="982"/>
      <c r="AA283" s="1111"/>
      <c r="AB283" s="982"/>
    </row>
    <row r="284" spans="2:28" hidden="1" outlineLevel="1">
      <c r="B284" s="788"/>
      <c r="C284" s="14" t="s">
        <v>444</v>
      </c>
      <c r="D284" s="94" t="s">
        <v>446</v>
      </c>
      <c r="E284" s="95" t="s">
        <v>22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765">
        <f t="shared" si="41"/>
        <v>0</v>
      </c>
      <c r="P284" s="92"/>
      <c r="Q284" s="93"/>
      <c r="R284" s="93"/>
      <c r="S284" s="824"/>
      <c r="T284" s="1111"/>
      <c r="U284" s="92"/>
      <c r="V284" s="982"/>
      <c r="W284" s="1111"/>
      <c r="X284" s="982"/>
      <c r="Y284" s="1111"/>
      <c r="Z284" s="982"/>
      <c r="AA284" s="1111"/>
      <c r="AB284" s="982"/>
    </row>
    <row r="285" spans="2:28" ht="21" hidden="1" outlineLevel="1">
      <c r="B285" s="788"/>
      <c r="C285" s="14" t="s">
        <v>447</v>
      </c>
      <c r="D285" s="96" t="s">
        <v>448</v>
      </c>
      <c r="E285" s="95" t="s">
        <v>22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765">
        <f t="shared" si="41"/>
        <v>0</v>
      </c>
      <c r="P285" s="92"/>
      <c r="Q285" s="93"/>
      <c r="R285" s="93"/>
      <c r="S285" s="824"/>
      <c r="T285" s="1111"/>
      <c r="U285" s="92"/>
      <c r="V285" s="982"/>
      <c r="W285" s="1111"/>
      <c r="X285" s="982"/>
      <c r="Y285" s="1111"/>
      <c r="Z285" s="982"/>
      <c r="AA285" s="1111"/>
      <c r="AB285" s="982"/>
    </row>
    <row r="286" spans="2:28" ht="21" hidden="1" outlineLevel="1">
      <c r="B286" s="788"/>
      <c r="C286" s="14" t="s">
        <v>449</v>
      </c>
      <c r="D286" s="96" t="s">
        <v>450</v>
      </c>
      <c r="E286" s="95" t="s">
        <v>451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765">
        <f t="shared" si="41"/>
        <v>0</v>
      </c>
      <c r="P286" s="92"/>
      <c r="Q286" s="93"/>
      <c r="R286" s="93"/>
      <c r="S286" s="824"/>
      <c r="T286" s="1111"/>
      <c r="U286" s="92"/>
      <c r="V286" s="982"/>
      <c r="W286" s="1111"/>
      <c r="X286" s="982"/>
      <c r="Y286" s="1111"/>
      <c r="Z286" s="982"/>
      <c r="AA286" s="1111"/>
      <c r="AB286" s="982"/>
    </row>
    <row r="287" spans="2:28" ht="21" hidden="1" outlineLevel="1">
      <c r="B287" s="788"/>
      <c r="C287" s="14" t="s">
        <v>445</v>
      </c>
      <c r="D287" s="94" t="s">
        <v>452</v>
      </c>
      <c r="E287" s="95" t="s">
        <v>22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765">
        <f t="shared" si="41"/>
        <v>0</v>
      </c>
      <c r="P287" s="92"/>
      <c r="Q287" s="93"/>
      <c r="R287" s="93"/>
      <c r="S287" s="824"/>
      <c r="T287" s="1111"/>
      <c r="U287" s="92"/>
      <c r="V287" s="982"/>
      <c r="W287" s="1111"/>
      <c r="X287" s="982"/>
      <c r="Y287" s="1111"/>
      <c r="Z287" s="982"/>
      <c r="AA287" s="1111"/>
      <c r="AB287" s="982"/>
    </row>
    <row r="288" spans="2:28" ht="21" hidden="1" outlineLevel="1">
      <c r="B288" s="788"/>
      <c r="C288" s="14" t="s">
        <v>453</v>
      </c>
      <c r="D288" s="96" t="s">
        <v>454</v>
      </c>
      <c r="E288" s="95" t="s">
        <v>22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765">
        <f t="shared" si="41"/>
        <v>0</v>
      </c>
      <c r="P288" s="92"/>
      <c r="Q288" s="93"/>
      <c r="R288" s="93"/>
      <c r="S288" s="824"/>
      <c r="T288" s="1111"/>
      <c r="U288" s="92"/>
      <c r="V288" s="982"/>
      <c r="W288" s="1111"/>
      <c r="X288" s="982"/>
      <c r="Y288" s="1111"/>
      <c r="Z288" s="982"/>
      <c r="AA288" s="1111"/>
      <c r="AB288" s="982"/>
    </row>
    <row r="289" spans="2:28" ht="31.5" hidden="1" outlineLevel="1">
      <c r="B289" s="788"/>
      <c r="C289" s="14" t="s">
        <v>455</v>
      </c>
      <c r="D289" s="96" t="s">
        <v>456</v>
      </c>
      <c r="E289" s="95" t="s">
        <v>353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765">
        <f t="shared" si="41"/>
        <v>0</v>
      </c>
      <c r="P289" s="92"/>
      <c r="Q289" s="93"/>
      <c r="R289" s="93"/>
      <c r="S289" s="824"/>
      <c r="T289" s="1111"/>
      <c r="U289" s="92"/>
      <c r="V289" s="982"/>
      <c r="W289" s="1111"/>
      <c r="X289" s="982"/>
      <c r="Y289" s="1111"/>
      <c r="Z289" s="982"/>
      <c r="AA289" s="1111"/>
      <c r="AB289" s="982"/>
    </row>
    <row r="290" spans="2:28" ht="21" hidden="1" outlineLevel="1">
      <c r="B290" s="788"/>
      <c r="C290" s="14" t="s">
        <v>457</v>
      </c>
      <c r="D290" s="96" t="s">
        <v>458</v>
      </c>
      <c r="E290" s="95" t="s">
        <v>22</v>
      </c>
      <c r="F290" s="92"/>
      <c r="G290" s="92"/>
      <c r="H290" s="92"/>
      <c r="I290" s="92"/>
      <c r="J290" s="92"/>
      <c r="K290" s="92"/>
      <c r="L290" s="92"/>
      <c r="M290" s="92"/>
      <c r="N290" s="92"/>
      <c r="O290" s="765">
        <f t="shared" si="41"/>
        <v>0</v>
      </c>
      <c r="P290" s="92"/>
      <c r="Q290" s="93"/>
      <c r="R290" s="93"/>
      <c r="S290" s="824"/>
      <c r="T290" s="1111"/>
      <c r="U290" s="92"/>
      <c r="V290" s="982"/>
      <c r="W290" s="1111"/>
      <c r="X290" s="982"/>
      <c r="Y290" s="1111"/>
      <c r="Z290" s="982"/>
      <c r="AA290" s="1111"/>
      <c r="AB290" s="982"/>
    </row>
    <row r="291" spans="2:28" hidden="1" outlineLevel="1">
      <c r="B291" s="788"/>
      <c r="C291" s="14" t="s">
        <v>459</v>
      </c>
      <c r="D291" s="96" t="s">
        <v>460</v>
      </c>
      <c r="E291" s="95" t="s">
        <v>22</v>
      </c>
      <c r="F291" s="92"/>
      <c r="G291" s="92"/>
      <c r="H291" s="92"/>
      <c r="I291" s="92"/>
      <c r="J291" s="92"/>
      <c r="K291" s="92"/>
      <c r="L291" s="92"/>
      <c r="M291" s="92"/>
      <c r="N291" s="92"/>
      <c r="O291" s="765">
        <f t="shared" si="41"/>
        <v>0</v>
      </c>
      <c r="P291" s="92"/>
      <c r="Q291" s="93"/>
      <c r="R291" s="93"/>
      <c r="S291" s="824"/>
      <c r="T291" s="1111"/>
      <c r="U291" s="92"/>
      <c r="V291" s="982"/>
      <c r="W291" s="1111"/>
      <c r="X291" s="982"/>
      <c r="Y291" s="1111"/>
      <c r="Z291" s="982"/>
      <c r="AA291" s="1111"/>
      <c r="AB291" s="982"/>
    </row>
    <row r="292" spans="2:28" ht="21" hidden="1" outlineLevel="1">
      <c r="B292" s="788"/>
      <c r="C292" s="14" t="s">
        <v>461</v>
      </c>
      <c r="D292" s="99" t="s">
        <v>462</v>
      </c>
      <c r="E292" s="95" t="s">
        <v>353</v>
      </c>
      <c r="F292" s="92"/>
      <c r="G292" s="92"/>
      <c r="H292" s="92"/>
      <c r="I292" s="92"/>
      <c r="J292" s="92"/>
      <c r="K292" s="92"/>
      <c r="L292" s="92"/>
      <c r="M292" s="92"/>
      <c r="N292" s="92"/>
      <c r="O292" s="765">
        <f t="shared" si="41"/>
        <v>0</v>
      </c>
      <c r="P292" s="92"/>
      <c r="Q292" s="93"/>
      <c r="R292" s="93"/>
      <c r="S292" s="824"/>
      <c r="T292" s="1111"/>
      <c r="U292" s="92"/>
      <c r="V292" s="982"/>
      <c r="W292" s="1111"/>
      <c r="X292" s="982"/>
      <c r="Y292" s="1111"/>
      <c r="Z292" s="982"/>
      <c r="AA292" s="1111"/>
      <c r="AB292" s="982"/>
    </row>
    <row r="293" spans="2:28" hidden="1" outlineLevel="1">
      <c r="B293" s="788"/>
      <c r="C293" s="14" t="s">
        <v>463</v>
      </c>
      <c r="D293" s="96" t="s">
        <v>464</v>
      </c>
      <c r="E293" s="95" t="s">
        <v>353</v>
      </c>
      <c r="F293" s="92"/>
      <c r="G293" s="92"/>
      <c r="H293" s="92"/>
      <c r="I293" s="92"/>
      <c r="J293" s="92"/>
      <c r="K293" s="92"/>
      <c r="L293" s="92"/>
      <c r="M293" s="92"/>
      <c r="N293" s="92"/>
      <c r="O293" s="765">
        <f t="shared" si="41"/>
        <v>0</v>
      </c>
      <c r="P293" s="92"/>
      <c r="Q293" s="93"/>
      <c r="R293" s="93"/>
      <c r="S293" s="824"/>
      <c r="T293" s="1111"/>
      <c r="U293" s="92"/>
      <c r="V293" s="982"/>
      <c r="W293" s="1111"/>
      <c r="X293" s="982"/>
      <c r="Y293" s="1111"/>
      <c r="Z293" s="982"/>
      <c r="AA293" s="1111"/>
      <c r="AB293" s="982"/>
    </row>
    <row r="294" spans="2:28" ht="21" hidden="1" outlineLevel="1">
      <c r="B294" s="788"/>
      <c r="C294" s="14" t="s">
        <v>465</v>
      </c>
      <c r="D294" s="99" t="s">
        <v>466</v>
      </c>
      <c r="E294" s="95" t="s">
        <v>353</v>
      </c>
      <c r="F294" s="92"/>
      <c r="G294" s="92"/>
      <c r="H294" s="92"/>
      <c r="I294" s="92"/>
      <c r="J294" s="92"/>
      <c r="K294" s="92"/>
      <c r="L294" s="92"/>
      <c r="M294" s="92"/>
      <c r="N294" s="92"/>
      <c r="O294" s="765">
        <f t="shared" si="41"/>
        <v>0</v>
      </c>
      <c r="P294" s="92"/>
      <c r="Q294" s="93"/>
      <c r="R294" s="93"/>
      <c r="S294" s="824"/>
      <c r="T294" s="1111"/>
      <c r="U294" s="92"/>
      <c r="V294" s="982"/>
      <c r="W294" s="1111"/>
      <c r="X294" s="982"/>
      <c r="Y294" s="1111"/>
      <c r="Z294" s="982"/>
      <c r="AA294" s="1111"/>
      <c r="AB294" s="982"/>
    </row>
    <row r="295" spans="2:28" ht="21" hidden="1" outlineLevel="1">
      <c r="B295" s="788"/>
      <c r="C295" s="14" t="s">
        <v>467</v>
      </c>
      <c r="D295" s="99" t="s">
        <v>468</v>
      </c>
      <c r="E295" s="95" t="s">
        <v>353</v>
      </c>
      <c r="F295" s="92"/>
      <c r="G295" s="92"/>
      <c r="H295" s="92"/>
      <c r="I295" s="92"/>
      <c r="J295" s="92"/>
      <c r="K295" s="92"/>
      <c r="L295" s="92"/>
      <c r="M295" s="92"/>
      <c r="N295" s="92"/>
      <c r="O295" s="765">
        <f t="shared" si="41"/>
        <v>0</v>
      </c>
      <c r="P295" s="92"/>
      <c r="Q295" s="93"/>
      <c r="R295" s="93"/>
      <c r="S295" s="824"/>
      <c r="T295" s="1111"/>
      <c r="U295" s="92"/>
      <c r="V295" s="982"/>
      <c r="W295" s="1111"/>
      <c r="X295" s="982"/>
      <c r="Y295" s="1111"/>
      <c r="Z295" s="982"/>
      <c r="AA295" s="1111"/>
      <c r="AB295" s="982"/>
    </row>
    <row r="296" spans="2:28" hidden="1" outlineLevel="1">
      <c r="B296" s="793" t="s">
        <v>288</v>
      </c>
      <c r="C296" s="14" t="s">
        <v>469</v>
      </c>
      <c r="D296" s="100" t="s">
        <v>289</v>
      </c>
      <c r="E296" s="95" t="s">
        <v>22</v>
      </c>
      <c r="F296" s="92"/>
      <c r="G296" s="92"/>
      <c r="H296" s="92"/>
      <c r="I296" s="92"/>
      <c r="J296" s="92"/>
      <c r="K296" s="92"/>
      <c r="L296" s="92"/>
      <c r="M296" s="92"/>
      <c r="N296" s="92"/>
      <c r="O296" s="765">
        <f t="shared" si="41"/>
        <v>0</v>
      </c>
      <c r="P296" s="92"/>
      <c r="Q296" s="93"/>
      <c r="R296" s="93"/>
      <c r="S296" s="824"/>
      <c r="T296" s="1111"/>
      <c r="U296" s="92"/>
      <c r="V296" s="982"/>
      <c r="W296" s="1111"/>
      <c r="X296" s="982"/>
      <c r="Y296" s="1111"/>
      <c r="Z296" s="982"/>
      <c r="AA296" s="1111"/>
      <c r="AB296" s="982"/>
    </row>
    <row r="297" spans="2:28" hidden="1" outlineLevel="1">
      <c r="B297" s="788"/>
      <c r="C297" s="62"/>
      <c r="D297" s="63"/>
      <c r="E297" s="64"/>
      <c r="F297" s="92"/>
      <c r="G297" s="92"/>
      <c r="H297" s="92"/>
      <c r="I297" s="92"/>
      <c r="J297" s="92"/>
      <c r="K297" s="92"/>
      <c r="L297" s="92"/>
      <c r="M297" s="92"/>
      <c r="N297" s="92"/>
      <c r="O297" s="765">
        <f t="shared" si="41"/>
        <v>0</v>
      </c>
      <c r="P297" s="92"/>
      <c r="Q297" s="93"/>
      <c r="R297" s="93"/>
      <c r="S297" s="824"/>
      <c r="T297" s="1111"/>
      <c r="U297" s="92"/>
      <c r="V297" s="982"/>
      <c r="W297" s="1111"/>
      <c r="X297" s="982"/>
      <c r="Y297" s="1111"/>
      <c r="Z297" s="982"/>
      <c r="AA297" s="1111"/>
      <c r="AB297" s="982"/>
    </row>
    <row r="298" spans="2:28" hidden="1" outlineLevel="1">
      <c r="B298" s="788"/>
      <c r="C298" s="14" t="s">
        <v>470</v>
      </c>
      <c r="D298" s="94" t="s">
        <v>425</v>
      </c>
      <c r="E298" s="95" t="s">
        <v>22</v>
      </c>
      <c r="F298" s="92"/>
      <c r="G298" s="92"/>
      <c r="H298" s="92"/>
      <c r="I298" s="92"/>
      <c r="J298" s="92"/>
      <c r="K298" s="92"/>
      <c r="L298" s="92"/>
      <c r="M298" s="92"/>
      <c r="N298" s="92"/>
      <c r="O298" s="765">
        <f t="shared" si="41"/>
        <v>0</v>
      </c>
      <c r="P298" s="92"/>
      <c r="Q298" s="93"/>
      <c r="R298" s="93"/>
      <c r="S298" s="824"/>
      <c r="T298" s="1111"/>
      <c r="U298" s="92"/>
      <c r="V298" s="982"/>
      <c r="W298" s="1111"/>
      <c r="X298" s="982"/>
      <c r="Y298" s="1111"/>
      <c r="Z298" s="982"/>
      <c r="AA298" s="1111"/>
      <c r="AB298" s="982"/>
    </row>
    <row r="299" spans="2:28" ht="84" hidden="1" outlineLevel="1">
      <c r="B299" s="788"/>
      <c r="C299" s="14" t="s">
        <v>471</v>
      </c>
      <c r="D299" s="96" t="s">
        <v>429</v>
      </c>
      <c r="E299" s="95" t="s">
        <v>22</v>
      </c>
      <c r="F299" s="92"/>
      <c r="G299" s="92"/>
      <c r="H299" s="92"/>
      <c r="I299" s="92"/>
      <c r="J299" s="92"/>
      <c r="K299" s="92"/>
      <c r="L299" s="92"/>
      <c r="M299" s="92"/>
      <c r="N299" s="92"/>
      <c r="O299" s="765">
        <f t="shared" si="41"/>
        <v>0</v>
      </c>
      <c r="P299" s="92"/>
      <c r="Q299" s="93"/>
      <c r="R299" s="93"/>
      <c r="S299" s="824"/>
      <c r="T299" s="1111"/>
      <c r="U299" s="92"/>
      <c r="V299" s="982"/>
      <c r="W299" s="1111"/>
      <c r="X299" s="982"/>
      <c r="Y299" s="1111"/>
      <c r="Z299" s="982"/>
      <c r="AA299" s="1111"/>
      <c r="AB299" s="982"/>
    </row>
    <row r="300" spans="2:28" ht="31.5" hidden="1" outlineLevel="1">
      <c r="B300" s="788"/>
      <c r="C300" s="14" t="s">
        <v>472</v>
      </c>
      <c r="D300" s="96" t="s">
        <v>431</v>
      </c>
      <c r="E300" s="95" t="s">
        <v>22</v>
      </c>
      <c r="F300" s="92"/>
      <c r="G300" s="92"/>
      <c r="H300" s="92"/>
      <c r="I300" s="92"/>
      <c r="J300" s="92"/>
      <c r="K300" s="92"/>
      <c r="L300" s="92"/>
      <c r="M300" s="92"/>
      <c r="N300" s="92"/>
      <c r="O300" s="765">
        <f t="shared" si="41"/>
        <v>0</v>
      </c>
      <c r="P300" s="92"/>
      <c r="Q300" s="93"/>
      <c r="R300" s="93"/>
      <c r="S300" s="824"/>
      <c r="T300" s="1111"/>
      <c r="U300" s="92"/>
      <c r="V300" s="982"/>
      <c r="W300" s="1111"/>
      <c r="X300" s="982"/>
      <c r="Y300" s="1111"/>
      <c r="Z300" s="982"/>
      <c r="AA300" s="1111"/>
      <c r="AB300" s="982"/>
    </row>
    <row r="301" spans="2:28" ht="63" hidden="1" outlineLevel="1">
      <c r="B301" s="788"/>
      <c r="C301" s="14" t="s">
        <v>473</v>
      </c>
      <c r="D301" s="96" t="s">
        <v>433</v>
      </c>
      <c r="E301" s="95" t="s">
        <v>22</v>
      </c>
      <c r="F301" s="92"/>
      <c r="G301" s="92"/>
      <c r="H301" s="92"/>
      <c r="I301" s="92"/>
      <c r="J301" s="92"/>
      <c r="K301" s="92"/>
      <c r="L301" s="92"/>
      <c r="M301" s="92"/>
      <c r="N301" s="92"/>
      <c r="O301" s="765">
        <f t="shared" si="41"/>
        <v>0</v>
      </c>
      <c r="P301" s="92"/>
      <c r="Q301" s="93"/>
      <c r="R301" s="93"/>
      <c r="S301" s="824"/>
      <c r="T301" s="1111"/>
      <c r="U301" s="92"/>
      <c r="V301" s="982"/>
      <c r="W301" s="1111"/>
      <c r="X301" s="982"/>
      <c r="Y301" s="1111"/>
      <c r="Z301" s="982"/>
      <c r="AA301" s="1111"/>
      <c r="AB301" s="982"/>
    </row>
    <row r="302" spans="2:28" ht="304.5" hidden="1" outlineLevel="1">
      <c r="B302" s="788"/>
      <c r="C302" s="14" t="s">
        <v>474</v>
      </c>
      <c r="D302" s="97" t="s">
        <v>435</v>
      </c>
      <c r="E302" s="95" t="s">
        <v>22</v>
      </c>
      <c r="F302" s="92"/>
      <c r="G302" s="92"/>
      <c r="H302" s="92"/>
      <c r="I302" s="92"/>
      <c r="J302" s="92"/>
      <c r="K302" s="92"/>
      <c r="L302" s="92"/>
      <c r="M302" s="92"/>
      <c r="N302" s="92"/>
      <c r="O302" s="765">
        <f t="shared" si="41"/>
        <v>0</v>
      </c>
      <c r="P302" s="92"/>
      <c r="Q302" s="93"/>
      <c r="R302" s="93"/>
      <c r="S302" s="824"/>
      <c r="T302" s="1111"/>
      <c r="U302" s="92"/>
      <c r="V302" s="982"/>
      <c r="W302" s="1111"/>
      <c r="X302" s="982"/>
      <c r="Y302" s="1111"/>
      <c r="Z302" s="982"/>
      <c r="AA302" s="1111"/>
      <c r="AB302" s="982"/>
    </row>
    <row r="303" spans="2:28" ht="42" hidden="1" outlineLevel="1">
      <c r="B303" s="788"/>
      <c r="C303" s="14" t="s">
        <v>475</v>
      </c>
      <c r="D303" s="96" t="s">
        <v>476</v>
      </c>
      <c r="E303" s="95" t="s">
        <v>22</v>
      </c>
      <c r="F303" s="92"/>
      <c r="G303" s="92"/>
      <c r="H303" s="92"/>
      <c r="I303" s="92"/>
      <c r="J303" s="92"/>
      <c r="K303" s="92"/>
      <c r="L303" s="92"/>
      <c r="M303" s="92"/>
      <c r="N303" s="92"/>
      <c r="O303" s="765">
        <f t="shared" si="41"/>
        <v>0</v>
      </c>
      <c r="P303" s="92"/>
      <c r="Q303" s="93"/>
      <c r="R303" s="93"/>
      <c r="S303" s="824"/>
      <c r="T303" s="1111"/>
      <c r="U303" s="92"/>
      <c r="V303" s="982"/>
      <c r="W303" s="1111"/>
      <c r="X303" s="982"/>
      <c r="Y303" s="1111"/>
      <c r="Z303" s="982"/>
      <c r="AA303" s="1111"/>
      <c r="AB303" s="982"/>
    </row>
    <row r="304" spans="2:28" ht="84" hidden="1" outlineLevel="1">
      <c r="B304" s="788"/>
      <c r="C304" s="14" t="s">
        <v>477</v>
      </c>
      <c r="D304" s="96" t="s">
        <v>437</v>
      </c>
      <c r="E304" s="95" t="s">
        <v>22</v>
      </c>
      <c r="F304" s="92"/>
      <c r="G304" s="92"/>
      <c r="H304" s="92"/>
      <c r="I304" s="92"/>
      <c r="J304" s="92"/>
      <c r="K304" s="92"/>
      <c r="L304" s="92"/>
      <c r="M304" s="92"/>
      <c r="N304" s="92"/>
      <c r="O304" s="765">
        <f t="shared" si="41"/>
        <v>0</v>
      </c>
      <c r="P304" s="92"/>
      <c r="Q304" s="93"/>
      <c r="R304" s="93"/>
      <c r="S304" s="824"/>
      <c r="T304" s="1111"/>
      <c r="U304" s="92"/>
      <c r="V304" s="982"/>
      <c r="W304" s="1111"/>
      <c r="X304" s="982"/>
      <c r="Y304" s="1111"/>
      <c r="Z304" s="982"/>
      <c r="AA304" s="1111"/>
      <c r="AB304" s="982"/>
    </row>
    <row r="305" spans="2:28" hidden="1" outlineLevel="1">
      <c r="B305" s="788"/>
      <c r="C305" s="14" t="s">
        <v>478</v>
      </c>
      <c r="D305" s="98" t="s">
        <v>439</v>
      </c>
      <c r="E305" s="95" t="s">
        <v>22</v>
      </c>
      <c r="F305" s="92"/>
      <c r="G305" s="92"/>
      <c r="H305" s="92"/>
      <c r="I305" s="92"/>
      <c r="J305" s="92"/>
      <c r="K305" s="92"/>
      <c r="L305" s="92"/>
      <c r="M305" s="92"/>
      <c r="N305" s="92"/>
      <c r="O305" s="765">
        <f t="shared" si="41"/>
        <v>0</v>
      </c>
      <c r="P305" s="92"/>
      <c r="Q305" s="93"/>
      <c r="R305" s="93"/>
      <c r="S305" s="824"/>
      <c r="T305" s="1111"/>
      <c r="U305" s="92"/>
      <c r="V305" s="982"/>
      <c r="W305" s="1111"/>
      <c r="X305" s="982"/>
      <c r="Y305" s="1111"/>
      <c r="Z305" s="982"/>
      <c r="AA305" s="1111"/>
      <c r="AB305" s="982"/>
    </row>
    <row r="306" spans="2:28" hidden="1" outlineLevel="1">
      <c r="B306" s="788"/>
      <c r="C306" s="14" t="s">
        <v>479</v>
      </c>
      <c r="D306" s="98" t="s">
        <v>441</v>
      </c>
      <c r="E306" s="95" t="s">
        <v>22</v>
      </c>
      <c r="F306" s="92"/>
      <c r="G306" s="92"/>
      <c r="H306" s="92"/>
      <c r="I306" s="92"/>
      <c r="J306" s="92"/>
      <c r="K306" s="92"/>
      <c r="L306" s="92"/>
      <c r="M306" s="92"/>
      <c r="N306" s="92"/>
      <c r="O306" s="765">
        <f t="shared" si="41"/>
        <v>0</v>
      </c>
      <c r="P306" s="92"/>
      <c r="Q306" s="93"/>
      <c r="R306" s="93"/>
      <c r="S306" s="824"/>
      <c r="T306" s="1111"/>
      <c r="U306" s="92"/>
      <c r="V306" s="982"/>
      <c r="W306" s="1111"/>
      <c r="X306" s="982"/>
      <c r="Y306" s="1111"/>
      <c r="Z306" s="982"/>
      <c r="AA306" s="1111"/>
      <c r="AB306" s="982"/>
    </row>
    <row r="307" spans="2:28" hidden="1" outlineLevel="1">
      <c r="B307" s="788"/>
      <c r="C307" s="62"/>
      <c r="D307" s="63"/>
      <c r="E307" s="64"/>
      <c r="F307" s="92"/>
      <c r="G307" s="92"/>
      <c r="H307" s="92"/>
      <c r="I307" s="92"/>
      <c r="J307" s="92"/>
      <c r="K307" s="92"/>
      <c r="L307" s="92"/>
      <c r="M307" s="92"/>
      <c r="N307" s="92"/>
      <c r="O307" s="765">
        <f t="shared" si="41"/>
        <v>0</v>
      </c>
      <c r="P307" s="92"/>
      <c r="Q307" s="93"/>
      <c r="R307" s="93"/>
      <c r="S307" s="824"/>
      <c r="T307" s="1111"/>
      <c r="U307" s="92"/>
      <c r="V307" s="982"/>
      <c r="W307" s="1111"/>
      <c r="X307" s="982"/>
      <c r="Y307" s="1111"/>
      <c r="Z307" s="982"/>
      <c r="AA307" s="1111"/>
      <c r="AB307" s="982"/>
    </row>
    <row r="308" spans="2:28" hidden="1" collapsed="1">
      <c r="B308" s="788"/>
      <c r="C308" s="14"/>
      <c r="D308" s="83" t="s">
        <v>480</v>
      </c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765">
        <f t="shared" si="41"/>
        <v>0</v>
      </c>
      <c r="P308" s="92"/>
      <c r="Q308" s="93"/>
      <c r="R308" s="93"/>
      <c r="S308" s="824"/>
      <c r="T308" s="1111"/>
      <c r="U308" s="92"/>
      <c r="V308" s="982"/>
      <c r="W308" s="1111"/>
      <c r="X308" s="982"/>
      <c r="Y308" s="1111"/>
      <c r="Z308" s="982"/>
      <c r="AA308" s="1111"/>
      <c r="AB308" s="982"/>
    </row>
    <row r="309" spans="2:28" hidden="1" outlineLevel="1">
      <c r="B309" s="788"/>
      <c r="C309" s="62"/>
      <c r="D309" s="63"/>
      <c r="E309" s="64"/>
      <c r="F309" s="92"/>
      <c r="G309" s="92"/>
      <c r="H309" s="92"/>
      <c r="I309" s="92"/>
      <c r="J309" s="92"/>
      <c r="K309" s="92"/>
      <c r="L309" s="92"/>
      <c r="M309" s="92"/>
      <c r="N309" s="92"/>
      <c r="O309" s="765">
        <f t="shared" si="41"/>
        <v>0</v>
      </c>
      <c r="P309" s="92"/>
      <c r="Q309" s="93"/>
      <c r="R309" s="93"/>
      <c r="S309" s="824"/>
      <c r="T309" s="1111"/>
      <c r="U309" s="92"/>
      <c r="V309" s="982"/>
      <c r="W309" s="1111"/>
      <c r="X309" s="982"/>
      <c r="Y309" s="1111"/>
      <c r="Z309" s="982"/>
      <c r="AA309" s="1111"/>
      <c r="AB309" s="982"/>
    </row>
    <row r="310" spans="2:28" ht="21" hidden="1" outlineLevel="1">
      <c r="B310" s="788"/>
      <c r="C310" s="14" t="s">
        <v>481</v>
      </c>
      <c r="D310" s="94" t="s">
        <v>419</v>
      </c>
      <c r="E310" s="95" t="s">
        <v>353</v>
      </c>
      <c r="F310" s="92"/>
      <c r="G310" s="92"/>
      <c r="H310" s="92"/>
      <c r="I310" s="92"/>
      <c r="J310" s="92"/>
      <c r="K310" s="92"/>
      <c r="L310" s="92"/>
      <c r="M310" s="92"/>
      <c r="N310" s="92"/>
      <c r="O310" s="765">
        <f t="shared" si="41"/>
        <v>0</v>
      </c>
      <c r="P310" s="92"/>
      <c r="Q310" s="93"/>
      <c r="R310" s="93"/>
      <c r="S310" s="824"/>
      <c r="T310" s="1111"/>
      <c r="U310" s="92"/>
      <c r="V310" s="982"/>
      <c r="W310" s="1111"/>
      <c r="X310" s="982"/>
      <c r="Y310" s="1111"/>
      <c r="Z310" s="982"/>
      <c r="AA310" s="1111"/>
      <c r="AB310" s="982"/>
    </row>
    <row r="311" spans="2:28" hidden="1" outlineLevel="1">
      <c r="B311" s="788"/>
      <c r="C311" s="14" t="s">
        <v>482</v>
      </c>
      <c r="D311" s="94" t="s">
        <v>421</v>
      </c>
      <c r="E311" s="95" t="s">
        <v>353</v>
      </c>
      <c r="F311" s="92"/>
      <c r="G311" s="92"/>
      <c r="H311" s="92"/>
      <c r="I311" s="92"/>
      <c r="J311" s="92"/>
      <c r="K311" s="92"/>
      <c r="L311" s="92"/>
      <c r="M311" s="92"/>
      <c r="N311" s="92"/>
      <c r="O311" s="765">
        <f t="shared" si="41"/>
        <v>0</v>
      </c>
      <c r="P311" s="92"/>
      <c r="Q311" s="93"/>
      <c r="R311" s="93"/>
      <c r="S311" s="824"/>
      <c r="T311" s="1111"/>
      <c r="U311" s="92"/>
      <c r="V311" s="982"/>
      <c r="W311" s="1111"/>
      <c r="X311" s="982"/>
      <c r="Y311" s="1111"/>
      <c r="Z311" s="982"/>
      <c r="AA311" s="1111"/>
      <c r="AB311" s="982"/>
    </row>
    <row r="312" spans="2:28" hidden="1" outlineLevel="1">
      <c r="B312" s="788"/>
      <c r="C312" s="62"/>
      <c r="D312" s="63"/>
      <c r="E312" s="64"/>
      <c r="F312" s="92"/>
      <c r="G312" s="92"/>
      <c r="H312" s="92"/>
      <c r="I312" s="92"/>
      <c r="J312" s="92"/>
      <c r="K312" s="92"/>
      <c r="L312" s="92"/>
      <c r="M312" s="92"/>
      <c r="N312" s="92"/>
      <c r="O312" s="765">
        <f t="shared" si="41"/>
        <v>0</v>
      </c>
      <c r="P312" s="92"/>
      <c r="Q312" s="93"/>
      <c r="R312" s="93"/>
      <c r="S312" s="824"/>
      <c r="T312" s="1111"/>
      <c r="U312" s="92"/>
      <c r="V312" s="982"/>
      <c r="W312" s="1111"/>
      <c r="X312" s="982"/>
      <c r="Y312" s="1111"/>
      <c r="Z312" s="982"/>
      <c r="AA312" s="1111"/>
      <c r="AB312" s="982"/>
    </row>
    <row r="313" spans="2:28" hidden="1" outlineLevel="1">
      <c r="B313" s="788"/>
      <c r="C313" s="62"/>
      <c r="D313" s="63"/>
      <c r="E313" s="64"/>
      <c r="F313" s="92"/>
      <c r="G313" s="92"/>
      <c r="H313" s="92"/>
      <c r="I313" s="92"/>
      <c r="J313" s="92"/>
      <c r="K313" s="92"/>
      <c r="L313" s="92"/>
      <c r="M313" s="92"/>
      <c r="N313" s="92"/>
      <c r="O313" s="765">
        <f t="shared" si="41"/>
        <v>0</v>
      </c>
      <c r="P313" s="92"/>
      <c r="Q313" s="93"/>
      <c r="R313" s="93"/>
      <c r="S313" s="824"/>
      <c r="T313" s="1111"/>
      <c r="U313" s="92"/>
      <c r="V313" s="982"/>
      <c r="W313" s="1111"/>
      <c r="X313" s="982"/>
      <c r="Y313" s="1111"/>
      <c r="Z313" s="982"/>
      <c r="AA313" s="1111"/>
      <c r="AB313" s="982"/>
    </row>
    <row r="314" spans="2:28" hidden="1" outlineLevel="1">
      <c r="B314" s="788"/>
      <c r="C314" s="14" t="s">
        <v>483</v>
      </c>
      <c r="D314" s="94" t="s">
        <v>484</v>
      </c>
      <c r="E314" s="95" t="s">
        <v>485</v>
      </c>
      <c r="F314" s="92"/>
      <c r="G314" s="92"/>
      <c r="H314" s="92"/>
      <c r="I314" s="92"/>
      <c r="J314" s="92"/>
      <c r="K314" s="92"/>
      <c r="L314" s="92"/>
      <c r="M314" s="92"/>
      <c r="N314" s="92"/>
      <c r="O314" s="765">
        <f t="shared" si="41"/>
        <v>0</v>
      </c>
      <c r="P314" s="92"/>
      <c r="Q314" s="93"/>
      <c r="R314" s="93"/>
      <c r="S314" s="824"/>
      <c r="T314" s="1111"/>
      <c r="U314" s="92"/>
      <c r="V314" s="982"/>
      <c r="W314" s="1111"/>
      <c r="X314" s="982"/>
      <c r="Y314" s="1111"/>
      <c r="Z314" s="982"/>
      <c r="AA314" s="1111"/>
      <c r="AB314" s="982"/>
    </row>
    <row r="315" spans="2:28" ht="21" hidden="1" outlineLevel="1">
      <c r="B315" s="788"/>
      <c r="C315" s="14" t="s">
        <v>481</v>
      </c>
      <c r="D315" s="96" t="s">
        <v>486</v>
      </c>
      <c r="E315" s="95" t="s">
        <v>22</v>
      </c>
      <c r="F315" s="92"/>
      <c r="G315" s="92"/>
      <c r="H315" s="92"/>
      <c r="I315" s="92"/>
      <c r="J315" s="92"/>
      <c r="K315" s="92"/>
      <c r="L315" s="92"/>
      <c r="M315" s="92"/>
      <c r="N315" s="92"/>
      <c r="O315" s="765">
        <f t="shared" si="41"/>
        <v>0</v>
      </c>
      <c r="P315" s="92"/>
      <c r="Q315" s="93"/>
      <c r="R315" s="93"/>
      <c r="S315" s="824"/>
      <c r="T315" s="1111"/>
      <c r="U315" s="92"/>
      <c r="V315" s="982"/>
      <c r="W315" s="1111"/>
      <c r="X315" s="982"/>
      <c r="Y315" s="1111"/>
      <c r="Z315" s="982"/>
      <c r="AA315" s="1111"/>
      <c r="AB315" s="982"/>
    </row>
    <row r="316" spans="2:28" ht="21" hidden="1" outlineLevel="1">
      <c r="B316" s="788"/>
      <c r="C316" s="14" t="s">
        <v>482</v>
      </c>
      <c r="D316" s="96" t="s">
        <v>487</v>
      </c>
      <c r="E316" s="95" t="s">
        <v>488</v>
      </c>
      <c r="F316" s="92"/>
      <c r="G316" s="92"/>
      <c r="H316" s="92"/>
      <c r="I316" s="92"/>
      <c r="J316" s="92"/>
      <c r="K316" s="92"/>
      <c r="L316" s="92"/>
      <c r="M316" s="92"/>
      <c r="N316" s="92"/>
      <c r="O316" s="765">
        <f t="shared" si="41"/>
        <v>0</v>
      </c>
      <c r="P316" s="92"/>
      <c r="Q316" s="93"/>
      <c r="R316" s="93"/>
      <c r="S316" s="824"/>
      <c r="T316" s="1111"/>
      <c r="U316" s="92"/>
      <c r="V316" s="982"/>
      <c r="W316" s="1111"/>
      <c r="X316" s="982"/>
      <c r="Y316" s="1111"/>
      <c r="Z316" s="982"/>
      <c r="AA316" s="1111"/>
      <c r="AB316" s="982"/>
    </row>
    <row r="317" spans="2:28" ht="21" hidden="1" outlineLevel="1">
      <c r="B317" s="788"/>
      <c r="C317" s="14" t="s">
        <v>489</v>
      </c>
      <c r="D317" s="96" t="s">
        <v>490</v>
      </c>
      <c r="E317" s="95" t="s">
        <v>488</v>
      </c>
      <c r="F317" s="92"/>
      <c r="G317" s="92"/>
      <c r="H317" s="92"/>
      <c r="I317" s="92"/>
      <c r="J317" s="92"/>
      <c r="K317" s="92"/>
      <c r="L317" s="92"/>
      <c r="M317" s="92"/>
      <c r="N317" s="92"/>
      <c r="O317" s="765">
        <f t="shared" si="41"/>
        <v>0</v>
      </c>
      <c r="P317" s="92"/>
      <c r="Q317" s="93"/>
      <c r="R317" s="93"/>
      <c r="S317" s="824"/>
      <c r="T317" s="1111"/>
      <c r="U317" s="92"/>
      <c r="V317" s="982"/>
      <c r="W317" s="1111"/>
      <c r="X317" s="982"/>
      <c r="Y317" s="1111"/>
      <c r="Z317" s="982"/>
      <c r="AA317" s="1111"/>
      <c r="AB317" s="982"/>
    </row>
    <row r="318" spans="2:28" ht="21" hidden="1" outlineLevel="1">
      <c r="B318" s="788"/>
      <c r="C318" s="14" t="s">
        <v>491</v>
      </c>
      <c r="D318" s="94" t="s">
        <v>492</v>
      </c>
      <c r="E318" s="95" t="s">
        <v>22</v>
      </c>
      <c r="F318" s="92"/>
      <c r="G318" s="92"/>
      <c r="H318" s="92"/>
      <c r="I318" s="92"/>
      <c r="J318" s="92"/>
      <c r="K318" s="92"/>
      <c r="L318" s="92"/>
      <c r="M318" s="92"/>
      <c r="N318" s="92"/>
      <c r="O318" s="765">
        <f t="shared" si="41"/>
        <v>0</v>
      </c>
      <c r="P318" s="92"/>
      <c r="Q318" s="93"/>
      <c r="R318" s="93"/>
      <c r="S318" s="824"/>
      <c r="T318" s="1111"/>
      <c r="U318" s="92"/>
      <c r="V318" s="982"/>
      <c r="W318" s="1111"/>
      <c r="X318" s="982"/>
      <c r="Y318" s="1111"/>
      <c r="Z318" s="982"/>
      <c r="AA318" s="1111"/>
      <c r="AB318" s="982"/>
    </row>
    <row r="319" spans="2:28" hidden="1" outlineLevel="1">
      <c r="B319" s="788"/>
      <c r="C319" s="14" t="s">
        <v>493</v>
      </c>
      <c r="D319" s="96" t="s">
        <v>494</v>
      </c>
      <c r="E319" s="95" t="s">
        <v>353</v>
      </c>
      <c r="F319" s="92"/>
      <c r="G319" s="92"/>
      <c r="H319" s="92"/>
      <c r="I319" s="92"/>
      <c r="J319" s="92"/>
      <c r="K319" s="92"/>
      <c r="L319" s="92"/>
      <c r="M319" s="92"/>
      <c r="N319" s="92"/>
      <c r="O319" s="765">
        <f t="shared" si="41"/>
        <v>0</v>
      </c>
      <c r="P319" s="92"/>
      <c r="Q319" s="93"/>
      <c r="R319" s="93"/>
      <c r="S319" s="824"/>
      <c r="T319" s="1111"/>
      <c r="U319" s="92"/>
      <c r="V319" s="982"/>
      <c r="W319" s="1111"/>
      <c r="X319" s="982"/>
      <c r="Y319" s="1111"/>
      <c r="Z319" s="982"/>
      <c r="AA319" s="1111"/>
      <c r="AB319" s="982"/>
    </row>
    <row r="320" spans="2:28" ht="52.5" hidden="1" outlineLevel="1">
      <c r="B320" s="788"/>
      <c r="C320" s="14" t="s">
        <v>495</v>
      </c>
      <c r="D320" s="98" t="s">
        <v>496</v>
      </c>
      <c r="E320" s="95" t="s">
        <v>22</v>
      </c>
      <c r="F320" s="92"/>
      <c r="G320" s="92"/>
      <c r="H320" s="92"/>
      <c r="I320" s="92"/>
      <c r="J320" s="92"/>
      <c r="K320" s="92"/>
      <c r="L320" s="92"/>
      <c r="M320" s="92"/>
      <c r="N320" s="92"/>
      <c r="O320" s="765">
        <f t="shared" si="41"/>
        <v>0</v>
      </c>
      <c r="P320" s="92"/>
      <c r="Q320" s="93"/>
      <c r="R320" s="93"/>
      <c r="S320" s="824"/>
      <c r="T320" s="1111"/>
      <c r="U320" s="92"/>
      <c r="V320" s="982"/>
      <c r="W320" s="1111"/>
      <c r="X320" s="982"/>
      <c r="Y320" s="1111"/>
      <c r="Z320" s="982"/>
      <c r="AA320" s="1111"/>
      <c r="AB320" s="982"/>
    </row>
    <row r="321" spans="2:34" hidden="1" collapsed="1">
      <c r="B321" s="788"/>
      <c r="C321" s="62"/>
      <c r="D321" s="63"/>
      <c r="E321" s="64"/>
      <c r="F321" s="101"/>
      <c r="G321" s="101"/>
      <c r="H321" s="101"/>
      <c r="I321" s="101"/>
      <c r="J321" s="101"/>
      <c r="K321" s="101"/>
      <c r="L321" s="101"/>
      <c r="M321" s="101"/>
      <c r="N321" s="101"/>
      <c r="O321" s="765">
        <f t="shared" si="41"/>
        <v>0</v>
      </c>
      <c r="P321" s="101"/>
      <c r="Q321" s="102"/>
      <c r="R321" s="102"/>
      <c r="S321" s="825"/>
      <c r="T321" s="1112"/>
      <c r="U321" s="101"/>
      <c r="V321" s="983"/>
      <c r="W321" s="1112"/>
      <c r="X321" s="983"/>
      <c r="Y321" s="1112"/>
      <c r="Z321" s="983"/>
      <c r="AA321" s="1112"/>
      <c r="AB321" s="983"/>
    </row>
    <row r="322" spans="2:34">
      <c r="B322" s="788"/>
      <c r="C322" s="103" t="s">
        <v>23</v>
      </c>
      <c r="D322" s="103" t="s">
        <v>497</v>
      </c>
      <c r="E322" s="95" t="s">
        <v>22</v>
      </c>
      <c r="F322" s="104">
        <f t="shared" ref="F322:N326" si="42">SUMIF($B$9:$B$321,$C322,F$9:F$321)</f>
        <v>432563.20177697745</v>
      </c>
      <c r="G322" s="104">
        <f t="shared" si="42"/>
        <v>448281.68708558602</v>
      </c>
      <c r="H322" s="104">
        <f t="shared" si="42"/>
        <v>470871.260098828</v>
      </c>
      <c r="I322" s="104">
        <f t="shared" si="42"/>
        <v>532476.17459092487</v>
      </c>
      <c r="J322" s="104">
        <f t="shared" si="42"/>
        <v>486120.69860617333</v>
      </c>
      <c r="K322" s="104">
        <f t="shared" si="42"/>
        <v>495372.66999153793</v>
      </c>
      <c r="L322" s="104">
        <f t="shared" si="42"/>
        <v>490600.42799798417</v>
      </c>
      <c r="M322" s="104">
        <f t="shared" si="42"/>
        <v>561661.72901085357</v>
      </c>
      <c r="N322" s="104">
        <f t="shared" si="42"/>
        <v>590363.75774170004</v>
      </c>
      <c r="O322" s="765">
        <f t="shared" si="41"/>
        <v>99763.329743715876</v>
      </c>
      <c r="P322" s="104">
        <f t="shared" ref="P322:AB322" si="43">SUMIF($B$9:$B$321,$C322,P$9:P$321)</f>
        <v>577196.54907315748</v>
      </c>
      <c r="Q322" s="105">
        <f t="shared" si="43"/>
        <v>488848.07841989712</v>
      </c>
      <c r="R322" s="104">
        <f t="shared" si="43"/>
        <v>600899.64168792404</v>
      </c>
      <c r="S322" s="104">
        <f t="shared" si="43"/>
        <v>658581.40520012169</v>
      </c>
      <c r="T322" s="1113">
        <f t="shared" si="43"/>
        <v>638869.50397734763</v>
      </c>
      <c r="U322" s="104">
        <f t="shared" si="43"/>
        <v>503411.80115681014</v>
      </c>
      <c r="V322" s="104">
        <f t="shared" si="43"/>
        <v>688609.46729894751</v>
      </c>
      <c r="W322" s="1113">
        <f t="shared" si="43"/>
        <v>751688.45394002472</v>
      </c>
      <c r="X322" s="984">
        <f t="shared" si="43"/>
        <v>515320.58623674576</v>
      </c>
      <c r="Y322" s="1113">
        <f t="shared" si="43"/>
        <v>772153.73263859039</v>
      </c>
      <c r="Z322" s="984">
        <f t="shared" si="43"/>
        <v>545486.42601645249</v>
      </c>
      <c r="AA322" s="1113">
        <f t="shared" si="43"/>
        <v>794552.5913087962</v>
      </c>
      <c r="AB322" s="984">
        <f t="shared" si="43"/>
        <v>0</v>
      </c>
    </row>
    <row r="323" spans="2:34">
      <c r="B323" s="788"/>
      <c r="C323" s="106" t="s">
        <v>171</v>
      </c>
      <c r="D323" s="106" t="s">
        <v>498</v>
      </c>
      <c r="E323" s="95" t="s">
        <v>22</v>
      </c>
      <c r="F323" s="104">
        <f t="shared" si="42"/>
        <v>44663.67</v>
      </c>
      <c r="G323" s="104">
        <f t="shared" si="42"/>
        <v>50196.45</v>
      </c>
      <c r="H323" s="104">
        <f t="shared" si="42"/>
        <v>59312.94</v>
      </c>
      <c r="I323" s="104">
        <f t="shared" si="42"/>
        <v>87816.72</v>
      </c>
      <c r="J323" s="104">
        <f t="shared" si="42"/>
        <v>93751.44</v>
      </c>
      <c r="K323" s="104">
        <f t="shared" si="42"/>
        <v>78317.751995888641</v>
      </c>
      <c r="L323" s="104">
        <f t="shared" si="42"/>
        <v>91247.75</v>
      </c>
      <c r="M323" s="104">
        <f t="shared" si="42"/>
        <v>76045.782887434441</v>
      </c>
      <c r="N323" s="104">
        <f t="shared" si="42"/>
        <v>87255.399900535995</v>
      </c>
      <c r="O323" s="765">
        <f t="shared" si="41"/>
        <v>-3992.3500994640053</v>
      </c>
      <c r="P323" s="104">
        <f t="shared" ref="P323:W326" si="44">SUMIF($B$9:$B$321,$C323,P$9:P$321)</f>
        <v>66850.781800260724</v>
      </c>
      <c r="Q323" s="105">
        <f t="shared" si="44"/>
        <v>69160.12398410053</v>
      </c>
      <c r="R323" s="104">
        <f t="shared" si="44"/>
        <v>93831.303189273196</v>
      </c>
      <c r="S323" s="104">
        <f t="shared" si="44"/>
        <v>100445.69702409999</v>
      </c>
      <c r="T323" s="1113">
        <f t="shared" si="44"/>
        <v>93774.546127251582</v>
      </c>
      <c r="U323" s="104">
        <f t="shared" si="44"/>
        <v>70488.29921113461</v>
      </c>
      <c r="V323" s="104">
        <f t="shared" si="44"/>
        <v>117425.4162873879</v>
      </c>
      <c r="W323" s="1113">
        <f t="shared" si="44"/>
        <v>109113.19910657572</v>
      </c>
      <c r="X323" s="984">
        <f>SUMIF($B$9:$B$321,$C323,X$9:X$321)+X78+X80+X81</f>
        <v>114493.77213078876</v>
      </c>
      <c r="Y323" s="1113">
        <f>SUMIF($B$9:$B$321,$C323,Y$9:Y$321)</f>
        <v>101827.10035821758</v>
      </c>
      <c r="Z323" s="984">
        <f>SUMIF($B$9:$B$321,$C323,Z$9:Z$321)+Z78+Z80+Z81</f>
        <v>125848.22999999998</v>
      </c>
      <c r="AA323" s="1113">
        <f t="shared" ref="AA323:AB326" si="45">SUMIF($B$9:$B$321,$C323,AA$9:AA$321)</f>
        <v>94338.603268135819</v>
      </c>
      <c r="AB323" s="984">
        <f t="shared" si="45"/>
        <v>1216.0618032887669</v>
      </c>
      <c r="AF323" t="s">
        <v>1820</v>
      </c>
    </row>
    <row r="324" spans="2:34" ht="31.5">
      <c r="B324" s="788"/>
      <c r="C324" s="107" t="s">
        <v>36</v>
      </c>
      <c r="D324" s="107" t="s">
        <v>499</v>
      </c>
      <c r="E324" s="95" t="s">
        <v>22</v>
      </c>
      <c r="F324" s="104">
        <f t="shared" si="42"/>
        <v>116277.57063724</v>
      </c>
      <c r="G324" s="104">
        <f t="shared" si="42"/>
        <v>107041.49038900001</v>
      </c>
      <c r="H324" s="104">
        <f t="shared" si="42"/>
        <v>115557.870075</v>
      </c>
      <c r="I324" s="104">
        <f t="shared" si="42"/>
        <v>105498.6327743</v>
      </c>
      <c r="J324" s="104">
        <f t="shared" si="42"/>
        <v>122810.6628324</v>
      </c>
      <c r="K324" s="104">
        <f t="shared" si="42"/>
        <v>110553.8501286</v>
      </c>
      <c r="L324" s="104">
        <f t="shared" si="42"/>
        <v>125931.74262476957</v>
      </c>
      <c r="M324" s="104">
        <f t="shared" si="42"/>
        <v>118720.39421275599</v>
      </c>
      <c r="N324" s="104">
        <f t="shared" si="42"/>
        <v>125555.68150020801</v>
      </c>
      <c r="O324" s="765">
        <f t="shared" si="41"/>
        <v>-376.06112456155824</v>
      </c>
      <c r="P324" s="104">
        <f t="shared" si="44"/>
        <v>122545.88002471623</v>
      </c>
      <c r="Q324" s="105">
        <f t="shared" si="44"/>
        <v>112451.71966314157</v>
      </c>
      <c r="R324" s="104">
        <f t="shared" si="44"/>
        <v>133374.41548259999</v>
      </c>
      <c r="S324" s="104">
        <f t="shared" si="44"/>
        <v>139159.6738582</v>
      </c>
      <c r="T324" s="1113">
        <f t="shared" si="44"/>
        <v>134625.72071055841</v>
      </c>
      <c r="U324" s="104">
        <f t="shared" si="44"/>
        <v>116280.42650538744</v>
      </c>
      <c r="V324" s="104">
        <f t="shared" si="44"/>
        <v>155518.83085049997</v>
      </c>
      <c r="W324" s="1113">
        <f t="shared" si="44"/>
        <v>169977.52338424249</v>
      </c>
      <c r="X324" s="984">
        <f>SUMIF($B$9:$B$321,$C324,X$9:X$321)-X82</f>
        <v>127722.06153749998</v>
      </c>
      <c r="Y324" s="1113">
        <f>SUMIF($B$9:$B$321,$C324,Y$9:Y$321)</f>
        <v>184595.62165392539</v>
      </c>
      <c r="Z324" s="984">
        <f>SUMIF($B$9:$B$321,$C324,Z$9:Z$321)</f>
        <v>127281.8</v>
      </c>
      <c r="AA324" s="1113">
        <f t="shared" si="45"/>
        <v>201104.72287701134</v>
      </c>
      <c r="AB324" s="984">
        <f t="shared" si="45"/>
        <v>19347.8470730804</v>
      </c>
      <c r="AF324" t="s">
        <v>1821</v>
      </c>
    </row>
    <row r="325" spans="2:34">
      <c r="B325" s="788"/>
      <c r="C325" s="108" t="s">
        <v>288</v>
      </c>
      <c r="D325" s="108" t="s">
        <v>289</v>
      </c>
      <c r="E325" s="95" t="s">
        <v>22</v>
      </c>
      <c r="F325" s="104">
        <f t="shared" si="42"/>
        <v>34140.699999999997</v>
      </c>
      <c r="G325" s="104">
        <f t="shared" si="42"/>
        <v>51827.579999999994</v>
      </c>
      <c r="H325" s="104">
        <f t="shared" si="42"/>
        <v>49381.31</v>
      </c>
      <c r="I325" s="104">
        <f t="shared" si="42"/>
        <v>66414.78</v>
      </c>
      <c r="J325" s="104">
        <f t="shared" si="42"/>
        <v>103295.09999999999</v>
      </c>
      <c r="K325" s="104">
        <f t="shared" si="42"/>
        <v>91513.718400000012</v>
      </c>
      <c r="L325" s="104">
        <f t="shared" si="42"/>
        <v>119471.34</v>
      </c>
      <c r="M325" s="104">
        <f t="shared" si="42"/>
        <v>92575.848799999992</v>
      </c>
      <c r="N325" s="104">
        <f t="shared" si="42"/>
        <v>88365.23</v>
      </c>
      <c r="O325" s="765">
        <f t="shared" si="41"/>
        <v>-31106.11</v>
      </c>
      <c r="P325" s="104">
        <f t="shared" si="44"/>
        <v>104320.75839999999</v>
      </c>
      <c r="Q325" s="105">
        <f t="shared" si="44"/>
        <v>96694.68</v>
      </c>
      <c r="R325" s="104">
        <f t="shared" si="44"/>
        <v>119107.33</v>
      </c>
      <c r="S325" s="104">
        <f t="shared" si="44"/>
        <v>125823.81</v>
      </c>
      <c r="T325" s="1113">
        <f t="shared" si="44"/>
        <v>137577.09</v>
      </c>
      <c r="U325" s="104">
        <f t="shared" si="44"/>
        <v>96694.68</v>
      </c>
      <c r="V325" s="104">
        <f t="shared" si="44"/>
        <v>137577.09</v>
      </c>
      <c r="W325" s="1113">
        <f t="shared" si="44"/>
        <v>140121.85999999999</v>
      </c>
      <c r="X325" s="984">
        <f>SUMIF($B$9:$B$321,$C325,X$9:X$321)</f>
        <v>96694.68</v>
      </c>
      <c r="Y325" s="1113">
        <f>SUMIF($B$9:$B$321,$C325,Y$9:Y$321)</f>
        <v>143345.66</v>
      </c>
      <c r="Z325" s="984">
        <f>SUMIF($B$9:$B$321,$C325,Z$9:Z$321)</f>
        <v>52294.47</v>
      </c>
      <c r="AA325" s="1113">
        <f t="shared" si="45"/>
        <v>145553.16999999998</v>
      </c>
      <c r="AB325" s="984">
        <f t="shared" si="45"/>
        <v>0</v>
      </c>
      <c r="AF325" t="s">
        <v>1822</v>
      </c>
    </row>
    <row r="326" spans="2:34">
      <c r="B326" s="788"/>
      <c r="C326" s="109" t="s">
        <v>346</v>
      </c>
      <c r="D326" s="109" t="s">
        <v>348</v>
      </c>
      <c r="E326" s="95" t="s">
        <v>22</v>
      </c>
      <c r="F326" s="104">
        <f t="shared" si="42"/>
        <v>21118</v>
      </c>
      <c r="G326" s="104">
        <f t="shared" si="42"/>
        <v>2195.92</v>
      </c>
      <c r="H326" s="104">
        <f t="shared" si="42"/>
        <v>14381</v>
      </c>
      <c r="I326" s="104">
        <f t="shared" si="42"/>
        <v>8558.0499999999993</v>
      </c>
      <c r="J326" s="104">
        <f t="shared" si="42"/>
        <v>3800.3599999999997</v>
      </c>
      <c r="K326" s="104">
        <f t="shared" si="42"/>
        <v>2138.36</v>
      </c>
      <c r="L326" s="104">
        <f t="shared" si="42"/>
        <v>2755</v>
      </c>
      <c r="M326" s="104">
        <f t="shared" si="42"/>
        <v>2245.2780000000002</v>
      </c>
      <c r="N326" s="104">
        <f t="shared" si="42"/>
        <v>4358.5526790000031</v>
      </c>
      <c r="O326" s="765">
        <f t="shared" si="41"/>
        <v>1603.5526790000031</v>
      </c>
      <c r="P326" s="104">
        <f t="shared" si="44"/>
        <v>11034.191400361346</v>
      </c>
      <c r="Q326" s="105">
        <f t="shared" si="44"/>
        <v>2335.0891200000005</v>
      </c>
      <c r="R326" s="104">
        <f t="shared" si="44"/>
        <v>4532.8947861600036</v>
      </c>
      <c r="S326" s="104">
        <f t="shared" si="44"/>
        <v>2335.0891200000005</v>
      </c>
      <c r="T326" s="1113">
        <f t="shared" si="44"/>
        <v>4714.2105776064036</v>
      </c>
      <c r="U326" s="104">
        <f t="shared" si="44"/>
        <v>2428.4926848000005</v>
      </c>
      <c r="V326" s="104">
        <f t="shared" si="44"/>
        <v>2428.4926848000005</v>
      </c>
      <c r="W326" s="1113">
        <f t="shared" si="44"/>
        <v>4902.7790007106596</v>
      </c>
      <c r="X326" s="984">
        <f>SUMIF($B$9:$B$321,$C326,X$9:X$321)</f>
        <v>2650.31</v>
      </c>
      <c r="Y326" s="1113">
        <f>SUMIF($B$9:$B$321,$C326,Y$9:Y$321)</f>
        <v>5098.8901607390862</v>
      </c>
      <c r="Z326" s="984">
        <f>SUMIF($B$9:$B$321,$C326,Z$9:Z$321)</f>
        <v>2777.38</v>
      </c>
      <c r="AA326" s="1113">
        <f t="shared" si="45"/>
        <v>5302.8457671686501</v>
      </c>
      <c r="AB326" s="984">
        <f t="shared" si="45"/>
        <v>0</v>
      </c>
      <c r="AE326" t="s">
        <v>1117</v>
      </c>
      <c r="AF326" s="134">
        <f>(W90+W122)-(X90+X122)</f>
        <v>70238.718988779292</v>
      </c>
      <c r="AG326" t="s">
        <v>606</v>
      </c>
    </row>
    <row r="327" spans="2:34">
      <c r="B327" s="788"/>
      <c r="C327" s="62"/>
      <c r="D327" s="63"/>
      <c r="E327" s="64"/>
      <c r="F327" s="30"/>
      <c r="G327" s="30"/>
      <c r="H327" s="30"/>
      <c r="I327" s="30"/>
      <c r="J327" s="30"/>
      <c r="K327" s="30"/>
      <c r="L327" s="30"/>
      <c r="M327" s="30"/>
      <c r="N327" s="30"/>
      <c r="O327" s="765">
        <f t="shared" si="41"/>
        <v>0</v>
      </c>
      <c r="P327" s="30"/>
      <c r="Q327" s="31"/>
      <c r="R327" s="31"/>
      <c r="S327" s="812"/>
      <c r="T327" s="1103"/>
      <c r="U327" s="30"/>
      <c r="V327" s="973"/>
      <c r="W327" s="1103"/>
      <c r="X327" s="973"/>
      <c r="Y327" s="1103"/>
      <c r="Z327" s="973"/>
      <c r="AA327" s="1103"/>
      <c r="AB327" s="973"/>
      <c r="AE327" t="s">
        <v>1823</v>
      </c>
      <c r="AF327" s="134">
        <f>AF326*0.302</f>
        <v>21212.093134611347</v>
      </c>
      <c r="AG327" t="s">
        <v>606</v>
      </c>
    </row>
    <row r="328" spans="2:34" ht="21">
      <c r="B328" s="788"/>
      <c r="C328" s="49" t="s">
        <v>500</v>
      </c>
      <c r="D328" s="49" t="s">
        <v>501</v>
      </c>
      <c r="E328" s="110" t="s">
        <v>22</v>
      </c>
      <c r="F328" s="111">
        <f>F194+F210+F196-F208-F209+SUM(F275,F276,F305,F306,F320)</f>
        <v>617114.42241421738</v>
      </c>
      <c r="G328" s="111">
        <f>G194+G210+G196-G208-G209+SUM(G275,G276,G305,G306,G320)+0.02</f>
        <v>736904.79747458606</v>
      </c>
      <c r="H328" s="111">
        <f>H194+H210+H196-H208-H209+SUM(H275,H276,H305,H306,H320)</f>
        <v>662189.40017382801</v>
      </c>
      <c r="I328" s="111">
        <f t="shared" ref="I328:AB328" si="46">I194+I210+I196-I208-I209+SUM(I275,I276,I305,I306,I320)</f>
        <v>800764.35736522498</v>
      </c>
      <c r="J328" s="111">
        <f t="shared" si="46"/>
        <v>847302.90143857326</v>
      </c>
      <c r="K328" s="111">
        <f t="shared" si="46"/>
        <v>777896.35051602661</v>
      </c>
      <c r="L328" s="111">
        <f>L194+L210+L196-L208-L209+SUM(L275,L276,L305,L306,L320)</f>
        <v>846841.21062275372</v>
      </c>
      <c r="M328" s="111">
        <f>M194+M210+M196-M208-M209+SUM(M275,M276,M305,M306,M320)</f>
        <v>851249.03291104408</v>
      </c>
      <c r="N328" s="111">
        <f>N194+N210+N196-N208-N209+SUM(N275,N276,N305,N306,N320)</f>
        <v>895898.62182144402</v>
      </c>
      <c r="O328" s="765">
        <f t="shared" si="41"/>
        <v>49057.411198690301</v>
      </c>
      <c r="P328" s="111">
        <f>P194+P210+P196-P208-P209+SUM(P275,P276,P305,P306,P320)</f>
        <v>996666.17069849593</v>
      </c>
      <c r="Q328" s="112">
        <f t="shared" si="46"/>
        <v>731466.79097107565</v>
      </c>
      <c r="R328" s="111">
        <f>R194+R210+R196-R208-R209+SUM(R275,R276,R305,R306,R320)</f>
        <v>951745.5851459573</v>
      </c>
      <c r="S328" s="826">
        <f>S194+S210+S196-S208-S209+SUM(S275,S276,S305,S306,S320)</f>
        <v>1026345.6752024216</v>
      </c>
      <c r="T328" s="1114">
        <f>T194+T210+T196-T208-T209+SUM(T275,T276,T305,T306,T320)</f>
        <v>1042561.071392764</v>
      </c>
      <c r="U328" s="111">
        <f t="shared" si="46"/>
        <v>760418.719558132</v>
      </c>
      <c r="V328" s="985">
        <f>V194+V210+V196-V208-V209+SUM(V275,V276,V305,V306,V320)</f>
        <v>1101559.2971216352</v>
      </c>
      <c r="W328" s="1114">
        <f>W194+W210+W196-W208-W209+SUM(W275,W276,W305,W306,W320)</f>
        <v>1208803.8154315536</v>
      </c>
      <c r="X328" s="985">
        <f>X194+X210+X196-X208-X209+SUM(X275,X276,X305,X306,X320)</f>
        <v>803067.46649398154</v>
      </c>
      <c r="Y328" s="1114">
        <f>Y194+Y210+Y196-Y208-Y209+SUM(Y275,Y276,Y305,Y306,Y320)</f>
        <v>1241185.2848114725</v>
      </c>
      <c r="Z328" s="985">
        <f>Z322+Z323+Z324+Z325+Z326+Z266+Z274+Z276</f>
        <v>823040.15601645247</v>
      </c>
      <c r="AA328" s="1114">
        <f t="shared" si="46"/>
        <v>1240851.9332211118</v>
      </c>
      <c r="AB328" s="985">
        <f t="shared" si="46"/>
        <v>19347.8470730804</v>
      </c>
      <c r="AD328" s="134"/>
      <c r="AE328" s="448" t="s">
        <v>686</v>
      </c>
      <c r="AF328" s="1545">
        <f>AF326+AF327</f>
        <v>91450.812123390642</v>
      </c>
      <c r="AG328" s="448" t="s">
        <v>606</v>
      </c>
    </row>
    <row r="329" spans="2:34" ht="21">
      <c r="B329" s="788"/>
      <c r="C329" s="49" t="s">
        <v>502</v>
      </c>
      <c r="D329" s="49" t="s">
        <v>503</v>
      </c>
      <c r="E329" s="110" t="s">
        <v>22</v>
      </c>
      <c r="F329" s="113">
        <f t="shared" ref="F329:AB329" si="47">F328*1.18</f>
        <v>728195.01844877645</v>
      </c>
      <c r="G329" s="113">
        <f t="shared" si="47"/>
        <v>869547.66102001152</v>
      </c>
      <c r="H329" s="113">
        <f t="shared" si="47"/>
        <v>781383.49220511701</v>
      </c>
      <c r="I329" s="113">
        <f t="shared" si="47"/>
        <v>944901.94169096544</v>
      </c>
      <c r="J329" s="113">
        <f t="shared" si="47"/>
        <v>999817.42369751644</v>
      </c>
      <c r="K329" s="113">
        <f t="shared" si="47"/>
        <v>917917.69360891136</v>
      </c>
      <c r="L329" s="113">
        <f t="shared" si="47"/>
        <v>999272.62853484938</v>
      </c>
      <c r="M329" s="113">
        <f t="shared" si="47"/>
        <v>1004473.858835032</v>
      </c>
      <c r="N329" s="113">
        <f>N328*1.2</f>
        <v>1075078.3461857329</v>
      </c>
      <c r="O329" s="767"/>
      <c r="P329" s="113">
        <f t="shared" si="47"/>
        <v>1176066.0814242251</v>
      </c>
      <c r="Q329" s="114">
        <f t="shared" si="47"/>
        <v>863130.81334586919</v>
      </c>
      <c r="R329" s="113">
        <f>R328*1.2</f>
        <v>1142094.7021751488</v>
      </c>
      <c r="S329" s="767">
        <f>S328*1.2</f>
        <v>1231614.810242906</v>
      </c>
      <c r="T329" s="1115">
        <f t="shared" si="47"/>
        <v>1230222.0642434615</v>
      </c>
      <c r="U329" s="113">
        <f t="shared" si="47"/>
        <v>897294.08907859575</v>
      </c>
      <c r="V329" s="113">
        <f t="shared" si="47"/>
        <v>1299839.9706035294</v>
      </c>
      <c r="W329" s="1115">
        <f t="shared" si="47"/>
        <v>1426388.5022092331</v>
      </c>
      <c r="X329" s="986">
        <f t="shared" si="47"/>
        <v>947619.61046289816</v>
      </c>
      <c r="Y329" s="1115">
        <f t="shared" si="47"/>
        <v>1464598.6360775374</v>
      </c>
      <c r="Z329" s="986">
        <f t="shared" si="47"/>
        <v>971187.38409941387</v>
      </c>
      <c r="AA329" s="1115">
        <f t="shared" si="47"/>
        <v>1464205.2812009118</v>
      </c>
      <c r="AB329" s="986">
        <f t="shared" si="47"/>
        <v>22830.45954623487</v>
      </c>
      <c r="AF329" s="134"/>
      <c r="AG329" s="134"/>
      <c r="AH329" s="134"/>
    </row>
    <row r="330" spans="2:34" ht="21">
      <c r="B330" s="788"/>
      <c r="C330" s="83" t="s">
        <v>504</v>
      </c>
      <c r="D330" s="83" t="s">
        <v>505</v>
      </c>
      <c r="E330" s="16" t="s">
        <v>22</v>
      </c>
      <c r="F330" s="22"/>
      <c r="G330" s="22"/>
      <c r="H330" s="22"/>
      <c r="I330" s="22"/>
      <c r="J330" s="22"/>
      <c r="K330" s="22"/>
      <c r="L330" s="22"/>
      <c r="M330" s="22"/>
      <c r="N330" s="22"/>
      <c r="O330" s="768"/>
      <c r="P330" s="22"/>
      <c r="Q330" s="23"/>
      <c r="R330" s="23"/>
      <c r="S330" s="810"/>
      <c r="T330" s="254"/>
      <c r="U330" s="22"/>
      <c r="V330" s="971"/>
      <c r="W330" s="254"/>
      <c r="X330" s="971"/>
      <c r="Y330" s="254"/>
      <c r="Z330" s="971"/>
      <c r="AA330" s="254"/>
      <c r="AB330" s="971"/>
    </row>
    <row r="331" spans="2:34" ht="27.75" customHeight="1">
      <c r="B331" s="788"/>
      <c r="C331" s="83" t="s">
        <v>506</v>
      </c>
      <c r="D331" s="83" t="s">
        <v>507</v>
      </c>
      <c r="E331" s="16" t="s">
        <v>22</v>
      </c>
      <c r="F331" s="104">
        <f t="shared" ref="F331:AB331" si="48">F330*1.18</f>
        <v>0</v>
      </c>
      <c r="G331" s="104">
        <f t="shared" si="48"/>
        <v>0</v>
      </c>
      <c r="H331" s="104">
        <f t="shared" si="48"/>
        <v>0</v>
      </c>
      <c r="I331" s="104">
        <f t="shared" si="48"/>
        <v>0</v>
      </c>
      <c r="J331" s="104">
        <f t="shared" si="48"/>
        <v>0</v>
      </c>
      <c r="K331" s="104">
        <f t="shared" si="48"/>
        <v>0</v>
      </c>
      <c r="L331" s="104">
        <f t="shared" si="48"/>
        <v>0</v>
      </c>
      <c r="M331" s="104">
        <f t="shared" si="48"/>
        <v>0</v>
      </c>
      <c r="N331" s="104"/>
      <c r="O331" s="769"/>
      <c r="P331" s="104">
        <f t="shared" si="48"/>
        <v>0</v>
      </c>
      <c r="Q331" s="105">
        <f t="shared" si="48"/>
        <v>0</v>
      </c>
      <c r="R331" s="105">
        <v>0</v>
      </c>
      <c r="S331" s="827"/>
      <c r="T331" s="1113">
        <f t="shared" si="48"/>
        <v>0</v>
      </c>
      <c r="U331" s="104">
        <f t="shared" si="48"/>
        <v>0</v>
      </c>
      <c r="V331" s="984"/>
      <c r="W331" s="1113">
        <f t="shared" si="48"/>
        <v>0</v>
      </c>
      <c r="X331" s="984">
        <f t="shared" si="48"/>
        <v>0</v>
      </c>
      <c r="Y331" s="1113">
        <f t="shared" si="48"/>
        <v>0</v>
      </c>
      <c r="Z331" s="984">
        <f t="shared" si="48"/>
        <v>0</v>
      </c>
      <c r="AA331" s="1113">
        <f t="shared" si="48"/>
        <v>0</v>
      </c>
      <c r="AB331" s="984">
        <f t="shared" si="48"/>
        <v>0</v>
      </c>
    </row>
    <row r="332" spans="2:34" ht="27.75" customHeight="1">
      <c r="B332" s="788"/>
      <c r="C332" s="83" t="s">
        <v>508</v>
      </c>
      <c r="D332" s="83" t="s">
        <v>509</v>
      </c>
      <c r="E332" s="16" t="s">
        <v>22</v>
      </c>
      <c r="F332" s="17">
        <f t="shared" ref="F332:AB332" si="49">F328+F330</f>
        <v>617114.42241421738</v>
      </c>
      <c r="G332" s="17">
        <f t="shared" si="49"/>
        <v>736904.79747458606</v>
      </c>
      <c r="H332" s="17">
        <f t="shared" si="49"/>
        <v>662189.40017382801</v>
      </c>
      <c r="I332" s="17">
        <f t="shared" si="49"/>
        <v>800764.35736522498</v>
      </c>
      <c r="J332" s="17">
        <f t="shared" si="49"/>
        <v>847302.90143857326</v>
      </c>
      <c r="K332" s="17">
        <f t="shared" si="49"/>
        <v>777896.35051602661</v>
      </c>
      <c r="L332" s="17">
        <f>L328+L330</f>
        <v>846841.21062275372</v>
      </c>
      <c r="M332" s="17">
        <f t="shared" si="49"/>
        <v>851249.03291104408</v>
      </c>
      <c r="N332" s="17">
        <f t="shared" si="49"/>
        <v>895898.62182144402</v>
      </c>
      <c r="O332" s="770"/>
      <c r="P332" s="17">
        <f>P328+P330</f>
        <v>996666.17069849593</v>
      </c>
      <c r="Q332" s="18">
        <f t="shared" si="49"/>
        <v>731466.79097107565</v>
      </c>
      <c r="R332" s="17">
        <f>R328+R330</f>
        <v>951745.5851459573</v>
      </c>
      <c r="S332" s="770"/>
      <c r="T332" s="1116">
        <f t="shared" si="49"/>
        <v>1042561.071392764</v>
      </c>
      <c r="U332" s="17">
        <f t="shared" si="49"/>
        <v>760418.719558132</v>
      </c>
      <c r="V332" s="970"/>
      <c r="W332" s="1101">
        <f t="shared" si="49"/>
        <v>1208803.8154315536</v>
      </c>
      <c r="X332" s="970">
        <f t="shared" si="49"/>
        <v>803067.46649398154</v>
      </c>
      <c r="Y332" s="1101">
        <f t="shared" si="49"/>
        <v>1241185.2848114725</v>
      </c>
      <c r="Z332" s="970">
        <f t="shared" si="49"/>
        <v>823040.15601645247</v>
      </c>
      <c r="AA332" s="1101">
        <f t="shared" si="49"/>
        <v>1240851.9332211118</v>
      </c>
      <c r="AB332" s="970">
        <f t="shared" si="49"/>
        <v>19347.8470730804</v>
      </c>
      <c r="AF332" t="s">
        <v>1827</v>
      </c>
      <c r="AH332">
        <f>545486.43/515320.59</f>
        <v>1.0585380064087873</v>
      </c>
    </row>
    <row r="333" spans="2:34" ht="27.75" customHeight="1">
      <c r="B333" s="788"/>
      <c r="C333" s="83" t="s">
        <v>510</v>
      </c>
      <c r="D333" s="83" t="s">
        <v>511</v>
      </c>
      <c r="E333" s="16" t="s">
        <v>22</v>
      </c>
      <c r="F333" s="17">
        <f t="shared" ref="F333:AB333" si="50">F330+F331</f>
        <v>0</v>
      </c>
      <c r="G333" s="17">
        <f t="shared" si="50"/>
        <v>0</v>
      </c>
      <c r="H333" s="17">
        <f t="shared" si="50"/>
        <v>0</v>
      </c>
      <c r="I333" s="17">
        <f t="shared" si="50"/>
        <v>0</v>
      </c>
      <c r="J333" s="17">
        <f t="shared" si="50"/>
        <v>0</v>
      </c>
      <c r="K333" s="17">
        <f t="shared" si="50"/>
        <v>0</v>
      </c>
      <c r="L333" s="17">
        <f t="shared" si="50"/>
        <v>0</v>
      </c>
      <c r="M333" s="17">
        <f t="shared" si="50"/>
        <v>0</v>
      </c>
      <c r="N333" s="17"/>
      <c r="O333" s="770"/>
      <c r="P333" s="17">
        <f t="shared" si="50"/>
        <v>0</v>
      </c>
      <c r="Q333" s="18">
        <f t="shared" si="50"/>
        <v>0</v>
      </c>
      <c r="R333" s="18">
        <v>0</v>
      </c>
      <c r="S333" s="813"/>
      <c r="T333" s="1101">
        <f t="shared" si="50"/>
        <v>0</v>
      </c>
      <c r="U333" s="17">
        <f t="shared" si="50"/>
        <v>0</v>
      </c>
      <c r="V333" s="970"/>
      <c r="W333" s="1101">
        <f t="shared" si="50"/>
        <v>0</v>
      </c>
      <c r="X333" s="970">
        <f t="shared" si="50"/>
        <v>0</v>
      </c>
      <c r="Y333" s="1101">
        <f t="shared" si="50"/>
        <v>0</v>
      </c>
      <c r="Z333" s="970">
        <f t="shared" si="50"/>
        <v>0</v>
      </c>
      <c r="AA333" s="1101">
        <f t="shared" si="50"/>
        <v>0</v>
      </c>
      <c r="AB333" s="970">
        <f t="shared" si="50"/>
        <v>0</v>
      </c>
    </row>
    <row r="334" spans="2:34">
      <c r="B334" s="788"/>
      <c r="C334" s="62"/>
      <c r="D334" s="63"/>
      <c r="E334" s="64"/>
      <c r="F334" s="30"/>
      <c r="G334" s="30"/>
      <c r="H334" s="30"/>
      <c r="I334" s="30"/>
      <c r="J334" s="30"/>
      <c r="K334" s="30"/>
      <c r="L334" s="30"/>
      <c r="M334" s="30"/>
      <c r="N334" s="30"/>
      <c r="O334" s="771"/>
      <c r="P334" s="30"/>
      <c r="Q334" s="31"/>
      <c r="R334" s="31"/>
      <c r="S334" s="812"/>
      <c r="T334" s="1103"/>
      <c r="U334" s="30"/>
      <c r="V334" s="973"/>
      <c r="W334" s="1103"/>
      <c r="X334" s="973"/>
      <c r="Y334" s="1103"/>
      <c r="Z334" s="973"/>
      <c r="AA334" s="1103"/>
      <c r="AB334" s="973"/>
    </row>
    <row r="335" spans="2:34">
      <c r="B335" s="788"/>
      <c r="C335" s="115" t="s">
        <v>512</v>
      </c>
      <c r="D335" s="116" t="str">
        <f>IF(TEMPLATE_SPHERE_CODE="COLDVSNA","Объём отпуска воды",IF(TEMPLATE_SPHERE_CODE="VOTV","Объём сточных вод",""))</f>
        <v>Объём отпуска воды</v>
      </c>
      <c r="E335" s="16" t="s">
        <v>139</v>
      </c>
      <c r="F335" s="17">
        <f>F336+F337+F338+F339</f>
        <v>40569.167999999998</v>
      </c>
      <c r="G335" s="17">
        <f>'[8]Баланс ВС'!F39</f>
        <v>35466.168000000005</v>
      </c>
      <c r="H335" s="17">
        <f>H336+H337+H338+H339</f>
        <v>40762.129000000001</v>
      </c>
      <c r="I335" s="17">
        <f>I336+I337+I338+I339</f>
        <v>35374.684999999998</v>
      </c>
      <c r="J335" s="17">
        <f>J336+J337+J338+J339</f>
        <v>41265.159</v>
      </c>
      <c r="K335" s="17">
        <v>35529.296000000002</v>
      </c>
      <c r="L335" s="17">
        <v>41265.159</v>
      </c>
      <c r="M335" s="17">
        <f>'[8]Баланс ВС (2)'!L40</f>
        <v>35674.5</v>
      </c>
      <c r="N335" s="17">
        <v>36106.269999999997</v>
      </c>
      <c r="O335" s="770"/>
      <c r="P335" s="17">
        <f>'[8]Баланс ВС (2)'!M40</f>
        <v>36402.402000000002</v>
      </c>
      <c r="Q335" s="18">
        <f>'[8]Баланс ВС (2)'!N40</f>
        <v>35453.181240904269</v>
      </c>
      <c r="R335" s="18">
        <v>36182.694000000003</v>
      </c>
      <c r="S335" s="813">
        <v>35542.368999999999</v>
      </c>
      <c r="T335" s="1101">
        <v>36474.58</v>
      </c>
      <c r="U335" s="17">
        <f>'[8]Баланс ВС (2)'!P40</f>
        <v>35807.713053313317</v>
      </c>
      <c r="V335" s="970">
        <v>35952.892</v>
      </c>
      <c r="W335" s="1101">
        <v>36381.896999999997</v>
      </c>
      <c r="X335" s="970">
        <v>36381.896999999997</v>
      </c>
      <c r="Y335" s="1101">
        <v>36745.716999999997</v>
      </c>
      <c r="Z335" s="970">
        <f>'[8]Баланс ВС (2)'!T40</f>
        <v>36527.448085684911</v>
      </c>
      <c r="AA335" s="1101">
        <v>37113.175000000003</v>
      </c>
      <c r="AB335" s="970">
        <f>'[8]Баланс ВС (2)'!V40</f>
        <v>36892.722566541757</v>
      </c>
    </row>
    <row r="336" spans="2:34">
      <c r="B336" s="788"/>
      <c r="C336" s="115"/>
      <c r="D336" s="117" t="s">
        <v>513</v>
      </c>
      <c r="E336" s="16" t="s">
        <v>139</v>
      </c>
      <c r="F336" s="22">
        <v>40569.167999999998</v>
      </c>
      <c r="G336" s="22">
        <v>27740.611000000001</v>
      </c>
      <c r="H336" s="22">
        <v>0</v>
      </c>
      <c r="I336" s="22">
        <v>27823.655999999999</v>
      </c>
      <c r="J336" s="22">
        <v>0</v>
      </c>
      <c r="K336" s="22">
        <v>28555.182000000001</v>
      </c>
      <c r="L336" s="22">
        <v>0</v>
      </c>
      <c r="M336" s="22">
        <v>0</v>
      </c>
      <c r="N336" s="22"/>
      <c r="O336" s="768"/>
      <c r="P336" s="22">
        <v>0</v>
      </c>
      <c r="Q336" s="23">
        <v>0</v>
      </c>
      <c r="R336" s="23"/>
      <c r="S336" s="810"/>
      <c r="T336" s="254">
        <v>0</v>
      </c>
      <c r="U336" s="22">
        <v>0</v>
      </c>
      <c r="V336" s="971"/>
      <c r="W336" s="254">
        <v>0</v>
      </c>
      <c r="X336" s="971">
        <v>0</v>
      </c>
      <c r="Y336" s="254">
        <v>0</v>
      </c>
      <c r="Z336" s="971">
        <v>0</v>
      </c>
      <c r="AA336" s="254">
        <v>0</v>
      </c>
      <c r="AB336" s="971">
        <v>0</v>
      </c>
    </row>
    <row r="337" spans="2:28">
      <c r="B337" s="788"/>
      <c r="C337" s="115"/>
      <c r="D337" s="117" t="s">
        <v>514</v>
      </c>
      <c r="E337" s="16" t="s">
        <v>139</v>
      </c>
      <c r="F337" s="22">
        <v>0</v>
      </c>
      <c r="G337" s="22">
        <v>1177.0929999999998</v>
      </c>
      <c r="H337" s="22">
        <v>0</v>
      </c>
      <c r="I337" s="22">
        <v>1126.5550000000001</v>
      </c>
      <c r="J337" s="22">
        <v>0</v>
      </c>
      <c r="K337" s="22">
        <v>1088.4880000000001</v>
      </c>
      <c r="L337" s="22">
        <v>0</v>
      </c>
      <c r="M337" s="22">
        <v>0</v>
      </c>
      <c r="N337" s="22"/>
      <c r="O337" s="768"/>
      <c r="P337" s="22">
        <v>0</v>
      </c>
      <c r="Q337" s="23">
        <v>0</v>
      </c>
      <c r="R337" s="23"/>
      <c r="S337" s="810"/>
      <c r="T337" s="254">
        <v>0</v>
      </c>
      <c r="U337" s="22">
        <v>0</v>
      </c>
      <c r="V337" s="971"/>
      <c r="W337" s="254">
        <v>0</v>
      </c>
      <c r="X337" s="971">
        <v>0</v>
      </c>
      <c r="Y337" s="254">
        <v>0</v>
      </c>
      <c r="Z337" s="971">
        <v>0</v>
      </c>
      <c r="AA337" s="254">
        <v>0</v>
      </c>
      <c r="AB337" s="971">
        <v>0</v>
      </c>
    </row>
    <row r="338" spans="2:28">
      <c r="B338" s="788"/>
      <c r="C338" s="115"/>
      <c r="D338" s="117" t="s">
        <v>515</v>
      </c>
      <c r="E338" s="16" t="s">
        <v>139</v>
      </c>
      <c r="F338" s="22">
        <v>0</v>
      </c>
      <c r="G338" s="22">
        <v>6548.4639999999999</v>
      </c>
      <c r="H338" s="22">
        <v>0</v>
      </c>
      <c r="I338" s="22">
        <v>6424.4740000000002</v>
      </c>
      <c r="J338" s="22">
        <v>0</v>
      </c>
      <c r="K338" s="22">
        <v>5885.6260000000002</v>
      </c>
      <c r="L338" s="22">
        <v>0</v>
      </c>
      <c r="M338" s="22">
        <v>0</v>
      </c>
      <c r="N338" s="22"/>
      <c r="O338" s="22"/>
      <c r="P338" s="22">
        <v>0</v>
      </c>
      <c r="Q338" s="23">
        <v>0</v>
      </c>
      <c r="R338" s="23"/>
      <c r="S338" s="810"/>
      <c r="T338" s="254">
        <v>0</v>
      </c>
      <c r="U338" s="22">
        <v>0</v>
      </c>
      <c r="V338" s="971"/>
      <c r="W338" s="254">
        <v>0</v>
      </c>
      <c r="X338" s="971">
        <v>0</v>
      </c>
      <c r="Y338" s="254">
        <v>0</v>
      </c>
      <c r="Z338" s="971">
        <v>0</v>
      </c>
      <c r="AA338" s="254">
        <v>0</v>
      </c>
      <c r="AB338" s="971">
        <v>0</v>
      </c>
    </row>
    <row r="339" spans="2:28" ht="15.75" thickBot="1">
      <c r="B339" s="797"/>
      <c r="C339" s="798"/>
      <c r="D339" s="799" t="s">
        <v>516</v>
      </c>
      <c r="E339" s="800" t="s">
        <v>139</v>
      </c>
      <c r="F339" s="801"/>
      <c r="G339" s="801">
        <v>0</v>
      </c>
      <c r="H339" s="801">
        <v>40762.129000000001</v>
      </c>
      <c r="I339" s="801">
        <v>0</v>
      </c>
      <c r="J339" s="801">
        <v>41265.159</v>
      </c>
      <c r="K339" s="801">
        <v>1259.21</v>
      </c>
      <c r="L339" s="801"/>
      <c r="M339" s="801">
        <v>0</v>
      </c>
      <c r="N339" s="801"/>
      <c r="O339" s="801"/>
      <c r="P339" s="801">
        <v>0</v>
      </c>
      <c r="Q339" s="802">
        <v>0</v>
      </c>
      <c r="R339" s="802"/>
      <c r="S339" s="828"/>
      <c r="T339" s="1086">
        <v>0</v>
      </c>
      <c r="U339" s="801">
        <v>0</v>
      </c>
      <c r="V339" s="987"/>
      <c r="W339" s="1086">
        <v>0</v>
      </c>
      <c r="X339" s="987">
        <v>0</v>
      </c>
      <c r="Y339" s="1086">
        <v>0</v>
      </c>
      <c r="Z339" s="987">
        <v>0</v>
      </c>
      <c r="AA339" s="1086">
        <v>0</v>
      </c>
      <c r="AB339" s="987">
        <v>0</v>
      </c>
    </row>
    <row r="341" spans="2:28" ht="21">
      <c r="D341" s="119" t="s">
        <v>1356</v>
      </c>
    </row>
    <row r="342" spans="2:28">
      <c r="D342" s="204" t="s">
        <v>556</v>
      </c>
      <c r="E342" s="204"/>
      <c r="F342" s="312">
        <f t="shared" ref="F342:M342" si="51">F328-F326-F325-F324-F323-F322-F196-F266</f>
        <v>-3.2741809263825417E-11</v>
      </c>
      <c r="G342" s="312">
        <f t="shared" si="51"/>
        <v>2.0000000047730282E-2</v>
      </c>
      <c r="H342" s="312">
        <f t="shared" si="51"/>
        <v>-3.637978807091713E-11</v>
      </c>
      <c r="I342" s="312">
        <f t="shared" si="51"/>
        <v>1.1641532182693481E-10</v>
      </c>
      <c r="J342" s="312">
        <f t="shared" si="51"/>
        <v>1.4551915228366852E-11</v>
      </c>
      <c r="K342" s="312">
        <f t="shared" si="51"/>
        <v>0</v>
      </c>
      <c r="L342" s="312">
        <f t="shared" si="51"/>
        <v>0</v>
      </c>
      <c r="M342" s="312">
        <f t="shared" si="51"/>
        <v>0</v>
      </c>
      <c r="N342" s="312">
        <f>N332/N335</f>
        <v>24.812826742320492</v>
      </c>
      <c r="O342" s="312"/>
      <c r="P342" s="312"/>
      <c r="Q342" s="751">
        <f t="shared" ref="Q342:X342" si="52">Q328/Q335</f>
        <v>20.631908488007348</v>
      </c>
      <c r="R342" s="751">
        <f t="shared" si="52"/>
        <v>26.303889509884399</v>
      </c>
      <c r="S342" s="751">
        <f t="shared" si="52"/>
        <v>28.876681664140666</v>
      </c>
      <c r="T342" s="751">
        <f t="shared" si="52"/>
        <v>28.583223477631929</v>
      </c>
      <c r="U342" s="751">
        <f t="shared" si="52"/>
        <v>21.236171056944109</v>
      </c>
      <c r="V342" s="751">
        <f t="shared" si="52"/>
        <v>30.638962148625907</v>
      </c>
      <c r="W342" s="312">
        <f t="shared" si="52"/>
        <v>33.225420198170362</v>
      </c>
      <c r="X342" s="312">
        <f t="shared" si="52"/>
        <v>22.073270849345256</v>
      </c>
      <c r="Y342" s="312">
        <f>Y328/Y335</f>
        <v>33.777685840542247</v>
      </c>
      <c r="Z342" s="1549">
        <f>Z332/Z335</f>
        <v>22.532101177333587</v>
      </c>
      <c r="AA342" s="312">
        <f>AA328/AA335</f>
        <v>33.4342705311823</v>
      </c>
      <c r="AB342" s="118"/>
    </row>
    <row r="343" spans="2:28">
      <c r="D343" s="752" t="s">
        <v>517</v>
      </c>
      <c r="E343" s="753">
        <v>0.01</v>
      </c>
      <c r="F343" s="754"/>
      <c r="G343" s="754"/>
      <c r="H343" s="754"/>
      <c r="I343" s="754"/>
      <c r="J343" s="754"/>
      <c r="K343" s="754"/>
      <c r="L343" s="754"/>
      <c r="M343" s="754"/>
      <c r="N343" s="754">
        <f>N332/L335</f>
        <v>21.710775955605648</v>
      </c>
      <c r="O343" s="312"/>
      <c r="P343" s="312"/>
      <c r="Q343" s="738"/>
      <c r="R343" s="738"/>
      <c r="S343" s="738"/>
      <c r="T343" s="312"/>
      <c r="U343" s="312"/>
      <c r="V343" s="312"/>
      <c r="W343" s="312"/>
      <c r="X343" s="312"/>
      <c r="Y343" s="312"/>
      <c r="Z343" s="312"/>
      <c r="AA343" s="312"/>
    </row>
    <row r="344" spans="2:28">
      <c r="D344" s="204"/>
      <c r="E344" s="204"/>
      <c r="F344" s="313"/>
      <c r="G344" s="313"/>
      <c r="H344" s="313"/>
      <c r="I344" s="313"/>
      <c r="J344" s="313"/>
      <c r="K344" s="313"/>
      <c r="L344" s="313"/>
      <c r="M344" s="313"/>
      <c r="N344" s="313"/>
      <c r="O344" s="313"/>
      <c r="P344" s="313"/>
      <c r="Q344" s="739"/>
      <c r="R344" s="739"/>
      <c r="S344" s="739"/>
      <c r="T344" s="313"/>
      <c r="U344" s="313"/>
      <c r="V344" s="313"/>
      <c r="W344" s="313"/>
      <c r="X344" s="313"/>
      <c r="Y344" s="313"/>
      <c r="Z344" s="313"/>
      <c r="AA344" s="313"/>
    </row>
    <row r="345" spans="2:28">
      <c r="D345" s="204" t="s">
        <v>1355</v>
      </c>
      <c r="E345" s="204"/>
      <c r="F345" s="313"/>
      <c r="G345" s="313"/>
      <c r="H345" s="313"/>
      <c r="I345" s="313"/>
      <c r="J345" s="313"/>
      <c r="K345" s="313"/>
      <c r="L345" s="313"/>
      <c r="M345" s="313"/>
      <c r="N345" s="312">
        <f>N342*1.2</f>
        <v>29.775392090784589</v>
      </c>
      <c r="O345" s="312">
        <f t="shared" ref="O345:AA345" si="53">O342*1.2</f>
        <v>0</v>
      </c>
      <c r="P345" s="312">
        <f t="shared" si="53"/>
        <v>0</v>
      </c>
      <c r="Q345" s="312">
        <f t="shared" si="53"/>
        <v>24.758290185608818</v>
      </c>
      <c r="R345" s="312">
        <f t="shared" si="53"/>
        <v>31.564667411861279</v>
      </c>
      <c r="S345" s="312">
        <f t="shared" si="53"/>
        <v>34.652017996968794</v>
      </c>
      <c r="T345" s="312">
        <f t="shared" si="53"/>
        <v>34.299868173158316</v>
      </c>
      <c r="U345" s="312">
        <f>U342*1.2</f>
        <v>25.48340526833293</v>
      </c>
      <c r="V345" s="312">
        <f>V342*1.2</f>
        <v>36.76675457835109</v>
      </c>
      <c r="W345" s="312">
        <f t="shared" si="53"/>
        <v>39.870504237804433</v>
      </c>
      <c r="X345" s="312">
        <f t="shared" si="53"/>
        <v>26.487925019214305</v>
      </c>
      <c r="Y345" s="312">
        <f t="shared" si="53"/>
        <v>40.533223008650694</v>
      </c>
      <c r="Z345" s="1549">
        <f t="shared" si="53"/>
        <v>27.038521412800304</v>
      </c>
      <c r="AA345" s="312">
        <f t="shared" si="53"/>
        <v>40.12112463741876</v>
      </c>
    </row>
    <row r="348" spans="2:28" hidden="1"/>
    <row r="349" spans="2:28" hidden="1">
      <c r="K349" s="118"/>
      <c r="L349" s="118"/>
      <c r="M349" s="118"/>
      <c r="N349" s="118"/>
      <c r="O349" s="118"/>
      <c r="P349" s="312"/>
      <c r="Q349" s="742">
        <v>2019</v>
      </c>
      <c r="R349" s="738"/>
      <c r="S349" s="738"/>
      <c r="T349" s="312" t="s">
        <v>1350</v>
      </c>
      <c r="U349" s="748">
        <v>2020</v>
      </c>
      <c r="V349" s="118"/>
      <c r="W349" s="118"/>
      <c r="X349" s="118"/>
      <c r="Y349" s="118"/>
      <c r="Z349" s="118"/>
      <c r="AA349" s="118"/>
    </row>
    <row r="350" spans="2:28" hidden="1">
      <c r="K350" s="118"/>
      <c r="L350" s="118"/>
      <c r="M350" s="118"/>
      <c r="N350" s="118"/>
      <c r="O350" s="118"/>
      <c r="P350" s="740" t="s">
        <v>1351</v>
      </c>
      <c r="Q350" s="738">
        <f>Q322+Q323+Q324</f>
        <v>670459.92206713918</v>
      </c>
      <c r="R350" s="738"/>
      <c r="S350" s="738"/>
      <c r="T350" s="749">
        <v>1.0294000000000001</v>
      </c>
      <c r="U350" s="738">
        <f>U322+U323+U324</f>
        <v>690180.5268733321</v>
      </c>
      <c r="V350" s="118"/>
      <c r="W350" s="746"/>
      <c r="X350" s="118"/>
      <c r="Y350" s="118"/>
      <c r="Z350" s="118"/>
      <c r="AA350" s="118"/>
    </row>
    <row r="351" spans="2:28" hidden="1">
      <c r="K351" s="118"/>
      <c r="L351" s="118"/>
      <c r="M351" s="118"/>
      <c r="N351" s="118"/>
      <c r="O351" s="118"/>
      <c r="P351" s="740" t="s">
        <v>1352</v>
      </c>
      <c r="Q351" s="738">
        <f>Q9+Q88+Q89+Q103+Q104++Q111+Q116+Q134</f>
        <v>488848.07841989712</v>
      </c>
      <c r="R351" s="738"/>
      <c r="S351" s="738"/>
      <c r="T351" s="749">
        <v>1.0298</v>
      </c>
      <c r="U351" s="738">
        <f>U9+U88+U89+U103+U104++U111+U116+U134</f>
        <v>503411.80115681014</v>
      </c>
      <c r="V351" s="118"/>
      <c r="W351" s="746"/>
      <c r="X351" s="118"/>
      <c r="Y351" s="118"/>
      <c r="Z351" s="118"/>
      <c r="AA351" s="118"/>
    </row>
    <row r="352" spans="2:28" hidden="1">
      <c r="P352" s="741" t="s">
        <v>1353</v>
      </c>
      <c r="Q352" s="738">
        <f>Q78+Q80+Q81+Q102+Q170+Q182</f>
        <v>91473.771480535928</v>
      </c>
      <c r="R352" s="739"/>
      <c r="S352" s="739"/>
      <c r="T352" s="749">
        <v>1.0192000000000001</v>
      </c>
      <c r="U352" s="738">
        <f>U78+U80+U81+U102+U170+U182</f>
        <v>93230.480386522046</v>
      </c>
      <c r="V352" s="118"/>
    </row>
    <row r="353" spans="14:27" hidden="1">
      <c r="N353" s="118">
        <f>N90+N122+N145</f>
        <v>245894.36800000002</v>
      </c>
      <c r="O353" s="1">
        <f>N353/12/628</f>
        <v>32.629295116772823</v>
      </c>
      <c r="P353" s="743"/>
      <c r="Q353" s="750"/>
      <c r="R353" s="744"/>
      <c r="S353" s="744"/>
      <c r="T353" s="747"/>
      <c r="U353" s="745"/>
    </row>
    <row r="354" spans="14:27" hidden="1"/>
    <row r="355" spans="14:27">
      <c r="U355" s="118"/>
      <c r="V355" s="1" t="s">
        <v>1141</v>
      </c>
      <c r="W355" s="1" t="s">
        <v>1412</v>
      </c>
      <c r="X355" s="1">
        <v>2017</v>
      </c>
      <c r="Z355" s="1">
        <v>2019</v>
      </c>
    </row>
    <row r="356" spans="14:27">
      <c r="S356" s="1089"/>
      <c r="X356" s="1" t="s">
        <v>649</v>
      </c>
      <c r="Y356" s="1" t="s">
        <v>650</v>
      </c>
      <c r="Z356" s="1" t="s">
        <v>649</v>
      </c>
      <c r="AA356" s="1" t="s">
        <v>1413</v>
      </c>
    </row>
    <row r="357" spans="14:27">
      <c r="V357" s="1" t="s">
        <v>1414</v>
      </c>
      <c r="W357" s="1" t="s">
        <v>1415</v>
      </c>
      <c r="X357" s="1">
        <v>2069.8971160000001</v>
      </c>
      <c r="Y357" s="1">
        <v>2079.0289771520002</v>
      </c>
    </row>
    <row r="358" spans="14:27">
      <c r="S358" s="1089"/>
      <c r="V358" s="1" t="s">
        <v>497</v>
      </c>
      <c r="W358" s="1" t="s">
        <v>1416</v>
      </c>
      <c r="X358" s="1">
        <v>1041.62275</v>
      </c>
      <c r="Y358" s="1">
        <v>1041.62275</v>
      </c>
    </row>
    <row r="359" spans="14:27">
      <c r="V359" s="1" t="s">
        <v>498</v>
      </c>
      <c r="W359" s="1" t="s">
        <v>1417</v>
      </c>
      <c r="X359" s="1">
        <v>85.509999999999991</v>
      </c>
      <c r="Y359" s="1">
        <v>0</v>
      </c>
    </row>
    <row r="360" spans="14:27">
      <c r="V360" s="1" t="s">
        <v>1418</v>
      </c>
      <c r="W360" s="1" t="s">
        <v>1419</v>
      </c>
      <c r="X360" s="1">
        <v>822.15936600000009</v>
      </c>
      <c r="Y360" s="1">
        <v>852.05999399999996</v>
      </c>
    </row>
    <row r="361" spans="14:27">
      <c r="V361" s="1" t="s">
        <v>1420</v>
      </c>
      <c r="Y361" s="1">
        <v>806.70483437040014</v>
      </c>
    </row>
    <row r="362" spans="14:27">
      <c r="V362" s="1" t="s">
        <v>1421</v>
      </c>
      <c r="W362" s="1" t="s">
        <v>40</v>
      </c>
      <c r="X362" s="1">
        <v>1.02</v>
      </c>
      <c r="Y362" s="1">
        <v>1.02</v>
      </c>
    </row>
    <row r="363" spans="14:27">
      <c r="V363" s="1" t="s">
        <v>1422</v>
      </c>
      <c r="W363" s="1" t="s">
        <v>81</v>
      </c>
      <c r="Y363" s="1">
        <v>4.1622000000000003</v>
      </c>
    </row>
    <row r="364" spans="14:27">
      <c r="V364" s="1" t="s">
        <v>289</v>
      </c>
      <c r="W364" s="1" t="s">
        <v>1423</v>
      </c>
      <c r="X364" s="1">
        <v>42.035000000000004</v>
      </c>
      <c r="Y364" s="1">
        <v>71.373000000000005</v>
      </c>
    </row>
    <row r="365" spans="14:27">
      <c r="V365" s="1" t="s">
        <v>1424</v>
      </c>
      <c r="W365" s="1" t="s">
        <v>1425</v>
      </c>
      <c r="X365" s="1">
        <v>98.48</v>
      </c>
      <c r="Y365" s="1">
        <v>113.97323315199999</v>
      </c>
    </row>
    <row r="366" spans="14:27">
      <c r="V366" s="1" t="s">
        <v>1426</v>
      </c>
      <c r="W366" s="1" t="s">
        <v>353</v>
      </c>
      <c r="X366" s="1">
        <v>5.8</v>
      </c>
      <c r="Y366" s="1">
        <v>5.8</v>
      </c>
    </row>
    <row r="367" spans="14:27">
      <c r="V367" s="1" t="s">
        <v>1427</v>
      </c>
      <c r="W367" s="1" t="s">
        <v>976</v>
      </c>
      <c r="X367" s="1">
        <v>10.92</v>
      </c>
    </row>
    <row r="368" spans="14:27">
      <c r="V368" s="1" t="s">
        <v>1428</v>
      </c>
      <c r="W368" s="1" t="s">
        <v>587</v>
      </c>
      <c r="X368" s="1">
        <v>189.55099999999999</v>
      </c>
      <c r="Y368" s="1">
        <v>190.01660000000001</v>
      </c>
    </row>
    <row r="369" spans="22:27">
      <c r="V369" s="1" t="s">
        <v>1429</v>
      </c>
      <c r="X369" s="1">
        <v>-19.91</v>
      </c>
    </row>
    <row r="371" spans="22:27">
      <c r="V371" s="1" t="s">
        <v>1430</v>
      </c>
    </row>
    <row r="372" spans="22:27">
      <c r="V372" s="1" t="s">
        <v>1431</v>
      </c>
      <c r="W372" s="1" t="s">
        <v>1432</v>
      </c>
      <c r="Y372" s="1">
        <v>2074.981272</v>
      </c>
    </row>
    <row r="373" spans="22:27">
      <c r="V373" s="1" t="s">
        <v>1433</v>
      </c>
      <c r="W373" s="1" t="s">
        <v>1434</v>
      </c>
      <c r="Y373" s="1">
        <v>2079.0289771520002</v>
      </c>
    </row>
    <row r="374" spans="22:27">
      <c r="V374" s="1" t="s">
        <v>1435</v>
      </c>
      <c r="W374" s="1" t="s">
        <v>1436</v>
      </c>
      <c r="Y374" s="1">
        <v>4.3653690523291351</v>
      </c>
    </row>
    <row r="375" spans="22:27">
      <c r="V375" s="1" t="s">
        <v>1437</v>
      </c>
      <c r="W375" s="1" t="s">
        <v>353</v>
      </c>
      <c r="Y375" s="1">
        <v>3.7</v>
      </c>
    </row>
    <row r="376" spans="22:27">
      <c r="V376" s="1" t="s">
        <v>1438</v>
      </c>
      <c r="W376" s="1" t="s">
        <v>353</v>
      </c>
      <c r="Y376" s="1">
        <v>4</v>
      </c>
    </row>
    <row r="377" spans="22:27">
      <c r="V377" s="1" t="s">
        <v>1439</v>
      </c>
      <c r="W377" s="1" t="s">
        <v>1440</v>
      </c>
      <c r="AA377" s="1">
        <v>4.3653690523291351</v>
      </c>
    </row>
    <row r="378" spans="22:27">
      <c r="V378" s="1" t="s">
        <v>1441</v>
      </c>
      <c r="W378" s="1" t="s">
        <v>976</v>
      </c>
      <c r="AA378" s="1" t="e">
        <v>#DIV/0!</v>
      </c>
    </row>
    <row r="379" spans="22:27">
      <c r="V379" s="1" t="s">
        <v>1442</v>
      </c>
      <c r="W379" s="1" t="s">
        <v>587</v>
      </c>
      <c r="Z379" s="1">
        <v>0</v>
      </c>
    </row>
    <row r="380" spans="22:27">
      <c r="V380" s="1" t="s">
        <v>1443</v>
      </c>
      <c r="W380" s="1" t="s">
        <v>353</v>
      </c>
      <c r="AA380" s="1" t="e">
        <v>#DIV/0!</v>
      </c>
    </row>
    <row r="381" spans="22:27">
      <c r="V381" s="1" t="s">
        <v>1444</v>
      </c>
    </row>
    <row r="383" spans="22:27">
      <c r="V383" s="1" t="s">
        <v>1445</v>
      </c>
      <c r="W383" s="1" t="s">
        <v>1446</v>
      </c>
      <c r="X383" s="1" t="s">
        <v>649</v>
      </c>
    </row>
    <row r="384" spans="22:27">
      <c r="V384" s="1" t="s">
        <v>128</v>
      </c>
    </row>
    <row r="388" spans="22:25">
      <c r="V388" s="1" t="s">
        <v>132</v>
      </c>
    </row>
    <row r="389" spans="22:25">
      <c r="V389" s="1" t="s">
        <v>294</v>
      </c>
    </row>
    <row r="390" spans="22:25">
      <c r="V390" s="1" t="s">
        <v>1447</v>
      </c>
    </row>
    <row r="391" spans="22:25">
      <c r="V391" s="1" t="s">
        <v>1069</v>
      </c>
    </row>
    <row r="392" spans="22:25">
      <c r="V392" s="1" t="s">
        <v>321</v>
      </c>
    </row>
    <row r="393" spans="22:25">
      <c r="W393" s="1">
        <v>0</v>
      </c>
      <c r="X393" s="1">
        <v>0</v>
      </c>
    </row>
    <row r="395" spans="22:25">
      <c r="V395" s="1" t="s">
        <v>1448</v>
      </c>
      <c r="W395" s="1">
        <v>0</v>
      </c>
      <c r="Y395" s="1">
        <v>0</v>
      </c>
    </row>
  </sheetData>
  <mergeCells count="13">
    <mergeCell ref="B1:E1"/>
    <mergeCell ref="W4:X4"/>
    <mergeCell ref="Y4:Z4"/>
    <mergeCell ref="AA4:AB4"/>
    <mergeCell ref="B4:B7"/>
    <mergeCell ref="C4:D5"/>
    <mergeCell ref="E4:E5"/>
    <mergeCell ref="F4:G4"/>
    <mergeCell ref="H4:I4"/>
    <mergeCell ref="J4:K4"/>
    <mergeCell ref="L4:N4"/>
    <mergeCell ref="P4:S4"/>
    <mergeCell ref="T4:V4"/>
  </mergeCells>
  <pageMargins left="0.39370078740157483" right="0" top="0.74803149606299213" bottom="0.35433070866141736" header="0.31496062992125984" footer="0.31496062992125984"/>
  <pageSetup paperSize="8"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B1:AY362"/>
  <sheetViews>
    <sheetView tabSelected="1" topLeftCell="B1" zoomScale="125" zoomScaleNormal="125" zoomScalePageLayoutView="125" workbookViewId="0">
      <pane xSplit="4" ySplit="5" topLeftCell="W325" activePane="bottomRight" state="frozen"/>
      <selection activeCell="I56" sqref="I56"/>
      <selection pane="topRight" activeCell="I56" sqref="I56"/>
      <selection pane="bottomLeft" activeCell="I56" sqref="I56"/>
      <selection pane="bottomRight" activeCell="AJ58" sqref="AJ58"/>
    </sheetView>
  </sheetViews>
  <sheetFormatPr defaultColWidth="8.85546875" defaultRowHeight="15" outlineLevelRow="2" outlineLevelCol="1"/>
  <cols>
    <col min="1" max="1" width="8.28515625" customWidth="1"/>
    <col min="2" max="2" width="3" customWidth="1"/>
    <col min="3" max="3" width="5.42578125" customWidth="1"/>
    <col min="4" max="4" width="30" customWidth="1"/>
    <col min="5" max="5" width="13.5703125" customWidth="1"/>
    <col min="6" max="6" width="21.42578125" style="1" hidden="1" customWidth="1" outlineLevel="1"/>
    <col min="7" max="7" width="12.28515625" style="1" hidden="1" customWidth="1" outlineLevel="1"/>
    <col min="8" max="8" width="11.85546875" style="1" hidden="1" customWidth="1" outlineLevel="1"/>
    <col min="9" max="9" width="12.28515625" style="1" hidden="1" customWidth="1" outlineLevel="1"/>
    <col min="10" max="10" width="14.28515625" style="1" hidden="1" customWidth="1"/>
    <col min="11" max="11" width="15" style="1" hidden="1" customWidth="1"/>
    <col min="12" max="12" width="13.140625" style="1" hidden="1" customWidth="1"/>
    <col min="13" max="14" width="15.28515625" style="1" hidden="1" customWidth="1"/>
    <col min="15" max="15" width="13.28515625" style="1" hidden="1" customWidth="1"/>
    <col min="16" max="16" width="14.85546875" style="1" hidden="1" customWidth="1"/>
    <col min="17" max="17" width="13.42578125" style="2" hidden="1" customWidth="1"/>
    <col min="18" max="19" width="16.140625" style="2" hidden="1" customWidth="1"/>
    <col min="20" max="20" width="20.42578125" style="1" hidden="1" customWidth="1" outlineLevel="1"/>
    <col min="21" max="21" width="16.140625" style="1" hidden="1" customWidth="1" outlineLevel="1"/>
    <col min="22" max="22" width="14.7109375" style="1" hidden="1" customWidth="1" outlineLevel="1"/>
    <col min="23" max="23" width="15.85546875" style="1" hidden="1" customWidth="1" outlineLevel="1"/>
    <col min="24" max="24" width="15.140625" style="1" hidden="1" customWidth="1" outlineLevel="1"/>
    <col min="25" max="25" width="14.42578125" style="1" hidden="1" customWidth="1" outlineLevel="1"/>
    <col min="26" max="26" width="22.140625" style="1" customWidth="1" outlineLevel="1"/>
    <col min="27" max="27" width="13.85546875" style="1" hidden="1" customWidth="1" outlineLevel="1"/>
    <col min="28" max="28" width="12.28515625" style="1" hidden="1" customWidth="1" outlineLevel="1"/>
    <col min="29" max="29" width="4.5703125" hidden="1" customWidth="1"/>
    <col min="30" max="30" width="2" hidden="1" customWidth="1"/>
    <col min="31" max="31" width="8.140625" hidden="1" customWidth="1"/>
    <col min="32" max="32" width="13.42578125" customWidth="1"/>
  </cols>
  <sheetData>
    <row r="1" spans="2:36">
      <c r="B1" s="240" t="s">
        <v>1824</v>
      </c>
      <c r="C1" s="240"/>
      <c r="D1" s="240"/>
      <c r="E1" s="241"/>
      <c r="F1" s="241"/>
      <c r="G1" s="241"/>
      <c r="H1" s="241"/>
      <c r="I1" s="241"/>
      <c r="J1" s="241"/>
      <c r="V1" s="1544"/>
      <c r="W1" s="1546" t="s">
        <v>1819</v>
      </c>
      <c r="X1" s="1546">
        <v>1.023655</v>
      </c>
      <c r="Y1" s="1" t="s">
        <v>1831</v>
      </c>
      <c r="Z1" s="1">
        <f>408510.63/385919.66</f>
        <v>1.0585380128081581</v>
      </c>
    </row>
    <row r="2" spans="2:36">
      <c r="B2" s="1639" t="s">
        <v>518</v>
      </c>
      <c r="C2" s="1639"/>
      <c r="D2" s="1639"/>
      <c r="E2" s="1639"/>
      <c r="F2" s="1639"/>
      <c r="G2" s="1639"/>
      <c r="H2" s="1639"/>
      <c r="I2" s="1639"/>
      <c r="J2" s="1639"/>
      <c r="K2" s="1639"/>
      <c r="L2" s="1639"/>
      <c r="M2" s="1639"/>
      <c r="N2" s="1639"/>
      <c r="O2" s="1639"/>
      <c r="P2" s="1639"/>
      <c r="Q2" s="1639"/>
      <c r="R2" s="322">
        <f>Q92/Q94/12</f>
        <v>0.4047</v>
      </c>
      <c r="S2" s="832"/>
      <c r="U2" s="990">
        <v>1.0237000000000001</v>
      </c>
      <c r="AD2" s="1547"/>
      <c r="AE2" s="1547"/>
      <c r="AF2" s="1547"/>
      <c r="AG2" s="1547"/>
      <c r="AH2" s="1547"/>
      <c r="AI2" s="1547"/>
      <c r="AJ2" s="1547"/>
    </row>
    <row r="3" spans="2:36" ht="15.75" thickBot="1">
      <c r="V3" s="1">
        <v>1.03</v>
      </c>
      <c r="W3" s="755">
        <v>1.03</v>
      </c>
      <c r="Y3" s="1">
        <v>1.03</v>
      </c>
      <c r="AA3" s="1">
        <v>1.03</v>
      </c>
      <c r="AE3" s="1547"/>
      <c r="AF3" s="1547"/>
      <c r="AG3" s="1547"/>
      <c r="AH3" s="1547"/>
      <c r="AI3" s="1547"/>
      <c r="AJ3" s="1547"/>
    </row>
    <row r="4" spans="2:36" ht="14.45" customHeight="1">
      <c r="B4" s="1640" t="s">
        <v>2</v>
      </c>
      <c r="C4" s="1625" t="s">
        <v>519</v>
      </c>
      <c r="D4" s="1625"/>
      <c r="E4" s="1643" t="s">
        <v>3</v>
      </c>
      <c r="F4" s="1629" t="s">
        <v>4</v>
      </c>
      <c r="G4" s="1644"/>
      <c r="H4" s="1629" t="s">
        <v>5</v>
      </c>
      <c r="I4" s="1644"/>
      <c r="J4" s="1629" t="s">
        <v>6</v>
      </c>
      <c r="K4" s="1644"/>
      <c r="L4" s="1645" t="s">
        <v>7</v>
      </c>
      <c r="M4" s="1646"/>
      <c r="N4" s="1646"/>
      <c r="O4" s="404"/>
      <c r="P4" s="1620" t="s">
        <v>8</v>
      </c>
      <c r="Q4" s="1631"/>
      <c r="R4" s="857"/>
      <c r="S4" s="1647" t="s">
        <v>1384</v>
      </c>
      <c r="T4" s="1648"/>
      <c r="U4" s="1648"/>
      <c r="V4" s="1649"/>
      <c r="W4" s="1628" t="s">
        <v>10</v>
      </c>
      <c r="X4" s="1621"/>
      <c r="Y4" s="1620" t="s">
        <v>11</v>
      </c>
      <c r="Z4" s="1621"/>
      <c r="AA4" s="1620" t="s">
        <v>12</v>
      </c>
      <c r="AB4" s="1621"/>
      <c r="AE4" s="1547"/>
      <c r="AF4" s="1547"/>
      <c r="AG4" s="1547"/>
      <c r="AH4" s="1547"/>
      <c r="AI4" s="1547"/>
      <c r="AJ4" s="1547"/>
    </row>
    <row r="5" spans="2:36" ht="40.5" customHeight="1" thickBot="1">
      <c r="B5" s="1641"/>
      <c r="C5" s="1625"/>
      <c r="D5" s="1625"/>
      <c r="E5" s="1643"/>
      <c r="F5" s="120" t="s">
        <v>13</v>
      </c>
      <c r="G5" s="121" t="s">
        <v>14</v>
      </c>
      <c r="H5" s="120" t="s">
        <v>13</v>
      </c>
      <c r="I5" s="121" t="s">
        <v>14</v>
      </c>
      <c r="J5" s="120" t="s">
        <v>13</v>
      </c>
      <c r="K5" s="121" t="s">
        <v>14</v>
      </c>
      <c r="L5" s="120" t="s">
        <v>13</v>
      </c>
      <c r="M5" s="121" t="s">
        <v>15</v>
      </c>
      <c r="N5" s="325" t="s">
        <v>14</v>
      </c>
      <c r="O5" s="405" t="s">
        <v>882</v>
      </c>
      <c r="P5" s="120" t="s">
        <v>16</v>
      </c>
      <c r="Q5" s="327" t="s">
        <v>17</v>
      </c>
      <c r="R5" s="858" t="s">
        <v>694</v>
      </c>
      <c r="S5" s="859" t="s">
        <v>1374</v>
      </c>
      <c r="T5" s="860" t="s">
        <v>16</v>
      </c>
      <c r="U5" s="244" t="s">
        <v>17</v>
      </c>
      <c r="V5" s="244" t="s">
        <v>1377</v>
      </c>
      <c r="W5" s="326" t="s">
        <v>16</v>
      </c>
      <c r="X5" s="121" t="s">
        <v>17</v>
      </c>
      <c r="Y5" s="120" t="s">
        <v>16</v>
      </c>
      <c r="Z5" s="121" t="s">
        <v>17</v>
      </c>
      <c r="AA5" s="120" t="s">
        <v>16</v>
      </c>
      <c r="AB5" s="121" t="s">
        <v>17</v>
      </c>
    </row>
    <row r="6" spans="2:36" ht="27.6" customHeight="1">
      <c r="B6" s="1641"/>
      <c r="C6" s="6"/>
      <c r="D6" s="7" t="s">
        <v>18</v>
      </c>
      <c r="E6" s="7"/>
      <c r="F6" s="122" t="s">
        <v>520</v>
      </c>
      <c r="G6" s="122" t="s">
        <v>520</v>
      </c>
      <c r="H6" s="122" t="s">
        <v>520</v>
      </c>
      <c r="I6" s="122" t="s">
        <v>520</v>
      </c>
      <c r="J6" s="122" t="s">
        <v>520</v>
      </c>
      <c r="K6" s="122" t="s">
        <v>520</v>
      </c>
      <c r="L6" s="122" t="s">
        <v>520</v>
      </c>
      <c r="M6" s="122" t="s">
        <v>520</v>
      </c>
      <c r="N6" s="122"/>
      <c r="O6" s="122"/>
      <c r="P6" s="122" t="s">
        <v>16</v>
      </c>
      <c r="Q6" s="123" t="s">
        <v>520</v>
      </c>
      <c r="R6" s="123"/>
      <c r="S6" s="123"/>
      <c r="T6" s="122"/>
      <c r="U6" s="122"/>
      <c r="V6" s="122"/>
      <c r="W6" s="122"/>
      <c r="X6" s="122"/>
      <c r="Y6" s="122"/>
      <c r="Z6" s="122"/>
      <c r="AA6" s="122"/>
      <c r="AB6" s="122"/>
    </row>
    <row r="7" spans="2:36" ht="14.45" customHeight="1">
      <c r="B7" s="1642"/>
      <c r="C7" s="6"/>
      <c r="D7" s="124" t="e">
        <f>IF(CALC_IDENTIFIER="","",CALC_IDENTIFIER)</f>
        <v>#NAME?</v>
      </c>
      <c r="E7" s="124"/>
      <c r="F7" s="125" t="s">
        <v>1814</v>
      </c>
      <c r="G7" s="125" t="s">
        <v>1814</v>
      </c>
      <c r="H7" s="125" t="s">
        <v>1814</v>
      </c>
      <c r="I7" s="125" t="s">
        <v>1814</v>
      </c>
      <c r="J7" s="125" t="s">
        <v>1814</v>
      </c>
      <c r="K7" s="125" t="s">
        <v>1814</v>
      </c>
      <c r="L7" s="125" t="s">
        <v>1814</v>
      </c>
      <c r="M7" s="125" t="s">
        <v>1814</v>
      </c>
      <c r="N7" s="125"/>
      <c r="O7" s="125"/>
      <c r="P7" s="125" t="s">
        <v>1814</v>
      </c>
      <c r="Q7" s="126" t="s">
        <v>1814</v>
      </c>
      <c r="R7" s="126"/>
      <c r="S7" s="126"/>
      <c r="T7" s="127" t="s">
        <v>1814</v>
      </c>
      <c r="U7" s="127" t="s">
        <v>1814</v>
      </c>
      <c r="V7" s="127"/>
      <c r="W7" s="127" t="s">
        <v>1814</v>
      </c>
      <c r="X7" s="127" t="s">
        <v>1814</v>
      </c>
      <c r="Y7" s="127" t="s">
        <v>1814</v>
      </c>
      <c r="Z7" s="127" t="s">
        <v>1814</v>
      </c>
      <c r="AA7" s="127" t="s">
        <v>1814</v>
      </c>
      <c r="AB7" s="127" t="s">
        <v>1814</v>
      </c>
    </row>
    <row r="8" spans="2:36">
      <c r="B8" s="19"/>
      <c r="C8" s="49" t="s">
        <v>20</v>
      </c>
      <c r="D8" s="49" t="s">
        <v>21</v>
      </c>
      <c r="E8" s="16" t="s">
        <v>22</v>
      </c>
      <c r="F8" s="17">
        <f t="shared" ref="F8:AB8" si="0">SUM(F9,F15,F90,F91,F104,F105,F106,F115)</f>
        <v>287857.80569401599</v>
      </c>
      <c r="G8" s="17">
        <f t="shared" si="0"/>
        <v>259504.21375749997</v>
      </c>
      <c r="H8" s="17">
        <f t="shared" si="0"/>
        <v>327822.23463151196</v>
      </c>
      <c r="I8" s="17">
        <f t="shared" si="0"/>
        <v>427965.07424300001</v>
      </c>
      <c r="J8" s="17">
        <f t="shared" si="0"/>
        <v>593954.14020402171</v>
      </c>
      <c r="K8" s="17">
        <f t="shared" si="0"/>
        <v>319244.00896476273</v>
      </c>
      <c r="L8" s="17">
        <f t="shared" si="0"/>
        <v>526628.09910036903</v>
      </c>
      <c r="M8" s="17">
        <f t="shared" si="0"/>
        <v>439269.33866435027</v>
      </c>
      <c r="N8" s="17">
        <f>SUM(N9,N15,N90,N91,N104,N105,N106,N115)</f>
        <v>416226.48029900005</v>
      </c>
      <c r="O8" s="17">
        <f>O9+O17+O22</f>
        <v>505694.62967394799</v>
      </c>
      <c r="P8" s="17">
        <f t="shared" si="0"/>
        <v>461633.87603526172</v>
      </c>
      <c r="Q8" s="18">
        <f t="shared" si="0"/>
        <v>409840.6180663454</v>
      </c>
      <c r="R8" s="17">
        <f t="shared" si="0"/>
        <v>489466.132798968</v>
      </c>
      <c r="S8" s="17">
        <f>SUM(S9,S15,S90,S91,S104,S105,S106,S115)</f>
        <v>440736.3157453959</v>
      </c>
      <c r="T8" s="17">
        <f t="shared" si="0"/>
        <v>530106.20297469967</v>
      </c>
      <c r="U8" s="17">
        <f t="shared" si="0"/>
        <v>418890.24701335601</v>
      </c>
      <c r="V8" s="17">
        <f t="shared" si="0"/>
        <v>512772.36105674953</v>
      </c>
      <c r="W8" s="17">
        <f t="shared" si="0"/>
        <v>561285.074490397</v>
      </c>
      <c r="X8" s="17">
        <f t="shared" si="0"/>
        <v>440413.14684825111</v>
      </c>
      <c r="Y8" s="17">
        <f>SUM(Y9,Y15,Y90,Y91,Y104,Y105,Y106,Y115)</f>
        <v>580959.3468362781</v>
      </c>
      <c r="Z8" s="17">
        <f t="shared" ref="Z8" si="1">SUM(Z9,Z15,Z90,Z91,Z104,Z105,Z106,Z115)</f>
        <v>464805.24726762524</v>
      </c>
      <c r="AA8" s="17">
        <f t="shared" si="0"/>
        <v>598089.74872693745</v>
      </c>
      <c r="AB8" s="17">
        <f t="shared" si="0"/>
        <v>6.6078297329007218E-4</v>
      </c>
      <c r="AC8" s="128">
        <f>AA8/L8</f>
        <v>1.1356966135089359</v>
      </c>
    </row>
    <row r="9" spans="2:36" ht="21">
      <c r="B9" s="13" t="s">
        <v>23</v>
      </c>
      <c r="C9" s="14" t="s">
        <v>24</v>
      </c>
      <c r="D9" s="15" t="s">
        <v>25</v>
      </c>
      <c r="E9" s="16" t="s">
        <v>22</v>
      </c>
      <c r="F9" s="17">
        <f t="shared" ref="F9:AB9" si="2">F10+F13+F14</f>
        <v>9513.0065366359995</v>
      </c>
      <c r="G9" s="17">
        <f>G10+G13+G14-0.01</f>
        <v>12037.610216499999</v>
      </c>
      <c r="H9" s="17">
        <f>H10+H13+H14</f>
        <v>14828.480000000003</v>
      </c>
      <c r="I9" s="17">
        <f t="shared" si="2"/>
        <v>12794.130000000001</v>
      </c>
      <c r="J9" s="17">
        <f>J10+J13+J14</f>
        <v>16127.664696000003</v>
      </c>
      <c r="K9" s="17">
        <f t="shared" si="2"/>
        <v>55427.240913936002</v>
      </c>
      <c r="L9" s="17">
        <f t="shared" si="2"/>
        <v>16557.140075494524</v>
      </c>
      <c r="M9" s="17">
        <f t="shared" si="2"/>
        <v>117177.32362215764</v>
      </c>
      <c r="N9" s="17">
        <f>N10+N13+N14</f>
        <v>70302.160999999993</v>
      </c>
      <c r="O9" s="17">
        <f>'К ВС'!N322</f>
        <v>590363.75774170004</v>
      </c>
      <c r="P9" s="17">
        <f t="shared" si="2"/>
        <v>134666.20328109391</v>
      </c>
      <c r="Q9" s="18">
        <f t="shared" si="2"/>
        <v>120280.14022539768</v>
      </c>
      <c r="R9" s="17">
        <f t="shared" si="2"/>
        <v>126602.35333399</v>
      </c>
      <c r="S9" s="17">
        <f t="shared" si="2"/>
        <v>75647.703068795992</v>
      </c>
      <c r="T9" s="17">
        <f t="shared" si="2"/>
        <v>152922.54328098599</v>
      </c>
      <c r="U9" s="17">
        <f t="shared" si="2"/>
        <v>123116.04954873961</v>
      </c>
      <c r="V9" s="17">
        <f t="shared" si="2"/>
        <v>122256.27575906602</v>
      </c>
      <c r="W9" s="17">
        <f t="shared" si="2"/>
        <v>151494.65994054842</v>
      </c>
      <c r="X9" s="17">
        <f t="shared" si="2"/>
        <v>126028.33970081504</v>
      </c>
      <c r="Y9" s="17">
        <f t="shared" si="2"/>
        <v>154698.60801405346</v>
      </c>
      <c r="Z9" s="17">
        <f t="shared" ref="Z9" si="3">Z10+Z13+Z14</f>
        <v>133405.78826441226</v>
      </c>
      <c r="AA9" s="17">
        <f t="shared" si="2"/>
        <v>157836.52660736704</v>
      </c>
      <c r="AB9" s="17">
        <f t="shared" si="2"/>
        <v>0</v>
      </c>
      <c r="AC9" s="128">
        <f>AA9/L9</f>
        <v>9.53283754849509</v>
      </c>
    </row>
    <row r="10" spans="2:36" ht="19.5">
      <c r="B10" s="19"/>
      <c r="C10" s="20" t="s">
        <v>26</v>
      </c>
      <c r="D10" s="21" t="s">
        <v>521</v>
      </c>
      <c r="E10" s="16" t="s">
        <v>22</v>
      </c>
      <c r="F10" s="22">
        <v>269.23</v>
      </c>
      <c r="G10" s="22">
        <v>221.12</v>
      </c>
      <c r="H10" s="22">
        <v>253.79</v>
      </c>
      <c r="I10" s="22">
        <v>205.27000000000044</v>
      </c>
      <c r="J10" s="22">
        <v>7256.1780720000006</v>
      </c>
      <c r="K10" s="22">
        <v>40953.754930335999</v>
      </c>
      <c r="L10" s="22">
        <v>7445.2015107755997</v>
      </c>
      <c r="M10" s="22">
        <v>101647.38406</v>
      </c>
      <c r="N10" s="22">
        <v>55665.152999999998</v>
      </c>
      <c r="O10" s="22">
        <f>N10-L10</f>
        <v>48219.951489224397</v>
      </c>
      <c r="P10" s="22">
        <v>118515.06613644998</v>
      </c>
      <c r="Q10" s="51">
        <v>105103.39511804</v>
      </c>
      <c r="R10" s="22">
        <v>109529.57799999999</v>
      </c>
      <c r="S10" s="22">
        <f>'расшифровки ВО'!M35</f>
        <v>58574.927734805999</v>
      </c>
      <c r="T10" s="22">
        <v>135058.37599999999</v>
      </c>
      <c r="U10" s="22">
        <f>Q10*U2</f>
        <v>107594.34558233756</v>
      </c>
      <c r="V10" s="22">
        <f>'расшифровки ВО'!O35</f>
        <v>104392.10847808002</v>
      </c>
      <c r="W10" s="22">
        <f>'расшифровки ВО'!Q35</f>
        <v>132915.92596832299</v>
      </c>
      <c r="X10" s="22">
        <f>U10*X1-0.02</f>
        <v>110139.46982708774</v>
      </c>
      <c r="Y10" s="22">
        <f>'расшифровки ВО'!S35</f>
        <v>135376.72468293901</v>
      </c>
      <c r="Z10" s="22">
        <f>X10*Z1</f>
        <v>116586.81552250954</v>
      </c>
      <c r="AA10" s="22">
        <f>'расшифровки ВО'!U35</f>
        <v>137741.76794300799</v>
      </c>
      <c r="AB10" s="22">
        <v>0</v>
      </c>
      <c r="AC10" s="128">
        <v>17.757245380125312</v>
      </c>
    </row>
    <row r="11" spans="2:36">
      <c r="B11" s="19"/>
      <c r="C11" s="20"/>
      <c r="D11" s="24" t="s">
        <v>28</v>
      </c>
      <c r="E11" s="25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>
        <f t="shared" ref="O11:O74" si="4">N11-L11</f>
        <v>0</v>
      </c>
      <c r="P11" s="22"/>
      <c r="Q11" s="23"/>
      <c r="R11" s="23"/>
      <c r="S11" s="23"/>
      <c r="T11" s="22"/>
      <c r="U11" s="22"/>
      <c r="V11" s="22"/>
      <c r="W11" s="22"/>
      <c r="X11" s="22"/>
      <c r="Y11" s="22"/>
      <c r="Z11" s="22"/>
      <c r="AA11" s="22"/>
      <c r="AB11" s="22"/>
      <c r="AC11" s="128" t="e">
        <v>#DIV/0!</v>
      </c>
    </row>
    <row r="12" spans="2:36" ht="21">
      <c r="B12" s="19"/>
      <c r="C12" s="20"/>
      <c r="D12" s="24" t="s">
        <v>30</v>
      </c>
      <c r="E12" s="25" t="s">
        <v>31</v>
      </c>
      <c r="F12" s="22"/>
      <c r="G12" s="22"/>
      <c r="H12" s="22"/>
      <c r="I12" s="22"/>
      <c r="J12" s="22"/>
      <c r="K12" s="22"/>
      <c r="L12" s="22"/>
      <c r="M12" s="22"/>
      <c r="N12" s="22"/>
      <c r="O12" s="22">
        <f t="shared" si="4"/>
        <v>0</v>
      </c>
      <c r="P12" s="22"/>
      <c r="Q12" s="23"/>
      <c r="R12" s="23"/>
      <c r="S12" s="23"/>
      <c r="T12" s="22"/>
      <c r="U12" s="22"/>
      <c r="V12" s="22"/>
      <c r="W12" s="22"/>
      <c r="X12" s="22"/>
      <c r="Y12" s="22"/>
      <c r="Z12" s="22"/>
      <c r="AA12" s="22"/>
      <c r="AB12" s="22"/>
      <c r="AC12" s="128" t="e">
        <v>#DIV/0!</v>
      </c>
    </row>
    <row r="13" spans="2:36">
      <c r="B13" s="19"/>
      <c r="C13" s="20" t="s">
        <v>32</v>
      </c>
      <c r="D13" s="21" t="s">
        <v>33</v>
      </c>
      <c r="E13" s="16" t="s">
        <v>22</v>
      </c>
      <c r="F13" s="22">
        <v>5203.3565366359999</v>
      </c>
      <c r="G13" s="22">
        <v>7199.5002165000005</v>
      </c>
      <c r="H13" s="22">
        <v>5704.4600000000009</v>
      </c>
      <c r="I13" s="22">
        <v>8576.36</v>
      </c>
      <c r="J13" s="22">
        <v>5873.3120160000008</v>
      </c>
      <c r="K13" s="22">
        <v>10034.358983599999</v>
      </c>
      <c r="L13" s="22">
        <v>6035.9715081805252</v>
      </c>
      <c r="M13" s="22">
        <v>10959.414402957642</v>
      </c>
      <c r="N13" s="22">
        <f>7702.69+2022.634</f>
        <v>9725.3240000000005</v>
      </c>
      <c r="O13" s="22">
        <f t="shared" si="4"/>
        <v>3689.3524918194753</v>
      </c>
      <c r="P13" s="22">
        <v>11397.790979075948</v>
      </c>
      <c r="Q13" s="23">
        <v>10423.398941789679</v>
      </c>
      <c r="R13" s="22">
        <f>'расшифровки ВО'!M49</f>
        <v>8172.56533399</v>
      </c>
      <c r="S13" s="22">
        <f>'расшифровки ВО'!M49</f>
        <v>8172.56533399</v>
      </c>
      <c r="T13" s="22">
        <f>'расшифровки ВО'!O49</f>
        <v>8607.9488809859995</v>
      </c>
      <c r="U13" s="22">
        <f>Q13*U2-14.73</f>
        <v>10655.703496710095</v>
      </c>
      <c r="V13" s="22">
        <f>'расшифровки ВО'!O49</f>
        <v>8607.9488809859995</v>
      </c>
      <c r="W13" s="22">
        <f>'расшифровки ВО'!Q49</f>
        <v>8952.2668362254408</v>
      </c>
      <c r="X13" s="22">
        <f>U13*X1</f>
        <v>10907.764162924772</v>
      </c>
      <c r="Y13" s="22">
        <f>'расшифровки ВО'!S49</f>
        <v>9310.3575096744589</v>
      </c>
      <c r="Z13" s="22">
        <f>X13*Z1</f>
        <v>11546.28300120243</v>
      </c>
      <c r="AA13" s="22">
        <f>'расшифровки ВО'!U49</f>
        <v>9682.7718100614384</v>
      </c>
      <c r="AB13" s="22">
        <v>0</v>
      </c>
      <c r="AC13" s="128">
        <v>2.1372593689949468</v>
      </c>
    </row>
    <row r="14" spans="2:36" ht="21">
      <c r="B14" s="19"/>
      <c r="C14" s="20" t="s">
        <v>34</v>
      </c>
      <c r="D14" s="21" t="s">
        <v>35</v>
      </c>
      <c r="E14" s="16" t="s">
        <v>22</v>
      </c>
      <c r="F14" s="22">
        <v>4040.42</v>
      </c>
      <c r="G14" s="22">
        <v>4617</v>
      </c>
      <c r="H14" s="22">
        <v>8870.2300000000014</v>
      </c>
      <c r="I14" s="22">
        <v>4012.5</v>
      </c>
      <c r="J14" s="22">
        <v>2998.1746080000003</v>
      </c>
      <c r="K14" s="22">
        <v>4439.1270000000004</v>
      </c>
      <c r="L14" s="22">
        <v>3075.9670565383999</v>
      </c>
      <c r="M14" s="22">
        <v>4570.5251592000004</v>
      </c>
      <c r="N14" s="22">
        <f>1139.514+738.989+3033.181</f>
        <v>4911.6840000000002</v>
      </c>
      <c r="O14" s="22">
        <f t="shared" si="4"/>
        <v>1835.7169434616003</v>
      </c>
      <c r="P14" s="22">
        <v>4753.3461655680003</v>
      </c>
      <c r="Q14" s="23">
        <v>4753.3461655680003</v>
      </c>
      <c r="R14" s="22">
        <f>'расшифровки ВО'!M57</f>
        <v>8900.2099999999991</v>
      </c>
      <c r="S14" s="22">
        <f>1840.149+896.086+6132.989+30.986</f>
        <v>8900.2099999999991</v>
      </c>
      <c r="T14" s="22">
        <f>'расшифровки ВО'!O57</f>
        <v>9256.2183999999997</v>
      </c>
      <c r="U14" s="22">
        <f>Q14*U2</f>
        <v>4866.0004696919623</v>
      </c>
      <c r="V14" s="22">
        <f>'расшифровки ВО'!O57</f>
        <v>9256.2183999999997</v>
      </c>
      <c r="W14" s="22">
        <f>'расшифровки ВО'!Q57</f>
        <v>9626.4671359999993</v>
      </c>
      <c r="X14" s="22">
        <f>U14*X1</f>
        <v>4981.1057108025252</v>
      </c>
      <c r="Y14" s="22">
        <f>'расшифровки ВО'!S57</f>
        <v>10011.52582144</v>
      </c>
      <c r="Z14" s="22">
        <f>X14*Z1</f>
        <v>5272.6897407002725</v>
      </c>
      <c r="AA14" s="22">
        <f>'расшифровки ВО'!U57</f>
        <v>10411.9868542976</v>
      </c>
      <c r="AB14" s="22">
        <v>0</v>
      </c>
      <c r="AC14" s="128">
        <v>1.8078030740325268</v>
      </c>
    </row>
    <row r="15" spans="2:36" ht="21">
      <c r="B15" s="26" t="s">
        <v>36</v>
      </c>
      <c r="C15" s="14" t="s">
        <v>37</v>
      </c>
      <c r="D15" s="15" t="s">
        <v>38</v>
      </c>
      <c r="E15" s="16" t="s">
        <v>22</v>
      </c>
      <c r="F15" s="17">
        <v>25252.089917379995</v>
      </c>
      <c r="G15" s="17">
        <v>26937.010460999998</v>
      </c>
      <c r="H15" s="17">
        <v>26938.237820000002</v>
      </c>
      <c r="I15" s="17">
        <v>35944.517572000004</v>
      </c>
      <c r="J15" s="17">
        <v>144024.91744544895</v>
      </c>
      <c r="K15" s="17">
        <v>76385.490469169366</v>
      </c>
      <c r="L15" s="17">
        <v>183502.03125155004</v>
      </c>
      <c r="M15" s="17">
        <v>83817.166635692018</v>
      </c>
      <c r="N15" s="17">
        <f>N17+N77+N78+N79</f>
        <v>82619.114000000001</v>
      </c>
      <c r="O15" s="22">
        <f t="shared" si="4"/>
        <v>-100882.91725155004</v>
      </c>
      <c r="P15" s="17">
        <v>86615.387769740002</v>
      </c>
      <c r="Q15" s="18">
        <v>79255.226173099698</v>
      </c>
      <c r="R15" s="17">
        <f t="shared" ref="R15:Y15" si="5">R17+R77+R78+R79</f>
        <v>87861.100355685994</v>
      </c>
      <c r="S15" s="17">
        <f t="shared" si="5"/>
        <v>91925.788676600001</v>
      </c>
      <c r="T15" s="17">
        <f t="shared" si="5"/>
        <v>95038.538199775561</v>
      </c>
      <c r="U15" s="17">
        <f t="shared" si="5"/>
        <v>82299.891672102356</v>
      </c>
      <c r="V15" s="17">
        <f t="shared" si="5"/>
        <v>103211.043326</v>
      </c>
      <c r="W15" s="17">
        <f t="shared" si="5"/>
        <v>114554.415975</v>
      </c>
      <c r="X15" s="17">
        <f t="shared" si="5"/>
        <v>95942.19</v>
      </c>
      <c r="Y15" s="17">
        <f t="shared" si="5"/>
        <v>127551.47947376002</v>
      </c>
      <c r="Z15" s="17">
        <v>100283.26</v>
      </c>
      <c r="AA15" s="17">
        <f>AA17+AA77+AA78+AA79</f>
        <v>140463.54409395039</v>
      </c>
      <c r="AB15" s="17">
        <v>0</v>
      </c>
      <c r="AC15" s="128">
        <v>0.55295742595574671</v>
      </c>
    </row>
    <row r="16" spans="2:36">
      <c r="B16" s="19"/>
      <c r="C16" s="14"/>
      <c r="D16" s="27" t="s">
        <v>39</v>
      </c>
      <c r="E16" s="16" t="s">
        <v>40</v>
      </c>
      <c r="F16" s="17"/>
      <c r="G16" s="17"/>
      <c r="H16" s="17"/>
      <c r="I16" s="17"/>
      <c r="J16" s="17"/>
      <c r="K16" s="17"/>
      <c r="L16" s="17"/>
      <c r="M16" s="17"/>
      <c r="N16" s="686">
        <f>'Расчет ВО методом индекс ВО'!N20</f>
        <v>0.40496168827408802</v>
      </c>
      <c r="O16" s="478">
        <f t="shared" si="4"/>
        <v>0.40496168827408802</v>
      </c>
      <c r="P16" s="686"/>
      <c r="Q16" s="687"/>
      <c r="R16" s="686">
        <f>'Расчет ВО методом индекс ВО'!O20</f>
        <v>0.58736224620318001</v>
      </c>
      <c r="S16" s="686">
        <v>0.42499999999999999</v>
      </c>
      <c r="T16" s="686">
        <f>'Расчет ВО методом индекс ВО'!Q20</f>
        <v>0.56402890169037345</v>
      </c>
      <c r="U16" s="686">
        <v>0.41</v>
      </c>
      <c r="V16" s="686">
        <v>0.42899999999999999</v>
      </c>
      <c r="W16" s="686">
        <v>0.439</v>
      </c>
      <c r="X16" s="686">
        <v>0.41199999999999998</v>
      </c>
      <c r="Y16" s="686">
        <v>0.44</v>
      </c>
      <c r="Z16" s="686"/>
      <c r="AA16" s="686">
        <v>0.441</v>
      </c>
      <c r="AB16" s="686"/>
      <c r="AC16" s="128" t="e">
        <v>#DIV/0!</v>
      </c>
    </row>
    <row r="17" spans="2:29">
      <c r="B17" s="19"/>
      <c r="C17" s="14" t="s">
        <v>41</v>
      </c>
      <c r="D17" s="21" t="s">
        <v>42</v>
      </c>
      <c r="E17" s="16" t="s">
        <v>22</v>
      </c>
      <c r="F17" s="22">
        <v>22882.457999999995</v>
      </c>
      <c r="G17" s="22">
        <v>23996.94</v>
      </c>
      <c r="H17" s="22">
        <v>24559.587820000001</v>
      </c>
      <c r="I17" s="22">
        <v>33956.947572000005</v>
      </c>
      <c r="J17" s="22">
        <v>133903.08157228897</v>
      </c>
      <c r="K17" s="22">
        <v>69690.145648200007</v>
      </c>
      <c r="L17" s="22">
        <v>170433.37806775208</v>
      </c>
      <c r="M17" s="22">
        <v>74682.51944319201</v>
      </c>
      <c r="N17" s="22">
        <v>76095.350000000006</v>
      </c>
      <c r="O17" s="22">
        <f t="shared" si="4"/>
        <v>-94338.028067752079</v>
      </c>
      <c r="P17" s="22">
        <f>P59</f>
        <v>80353.174530685996</v>
      </c>
      <c r="Q17" s="23">
        <v>73407.673512761758</v>
      </c>
      <c r="R17" s="22">
        <f>R59</f>
        <v>80353.174530685996</v>
      </c>
      <c r="S17" s="22">
        <f>S59</f>
        <v>84417.862851600003</v>
      </c>
      <c r="T17" s="22">
        <f>T59</f>
        <v>87015.764599775561</v>
      </c>
      <c r="U17" s="22">
        <f>U59-0.45</f>
        <v>76365.535604157645</v>
      </c>
      <c r="V17" s="22">
        <f>V59</f>
        <v>95188.269725999999</v>
      </c>
      <c r="W17" s="22">
        <f>W59</f>
        <v>105536.874331</v>
      </c>
      <c r="X17" s="22">
        <v>86924.65</v>
      </c>
      <c r="Y17" s="22">
        <f>Y59</f>
        <v>117511.03744400002</v>
      </c>
      <c r="Z17" s="22">
        <v>100283.26</v>
      </c>
      <c r="AA17" s="22">
        <f>AA59</f>
        <v>129268.75318299999</v>
      </c>
      <c r="AB17" s="22">
        <v>0</v>
      </c>
      <c r="AC17" s="128">
        <v>0.54685226867611225</v>
      </c>
    </row>
    <row r="18" spans="2:29" outlineLevel="2">
      <c r="B18" s="19"/>
      <c r="C18" s="28" t="s">
        <v>43</v>
      </c>
      <c r="D18" s="29" t="s">
        <v>44</v>
      </c>
      <c r="E18" s="16"/>
      <c r="F18" s="30"/>
      <c r="G18" s="30"/>
      <c r="H18" s="30"/>
      <c r="I18" s="30"/>
      <c r="J18" s="30"/>
      <c r="K18" s="30"/>
      <c r="L18" s="30"/>
      <c r="M18" s="30"/>
      <c r="N18" s="30"/>
      <c r="O18" s="22">
        <f t="shared" si="4"/>
        <v>0</v>
      </c>
      <c r="P18" s="30"/>
      <c r="Q18" s="31"/>
      <c r="R18" s="31"/>
      <c r="S18" s="31"/>
      <c r="T18" s="30"/>
      <c r="U18" s="30"/>
      <c r="V18" s="30"/>
      <c r="W18" s="30"/>
      <c r="X18" s="30"/>
      <c r="Y18" s="30"/>
      <c r="Z18" s="30"/>
      <c r="AA18" s="30"/>
      <c r="AB18" s="30"/>
      <c r="AC18" s="128" t="e">
        <v>#DIV/0!</v>
      </c>
    </row>
    <row r="19" spans="2:29" ht="21" outlineLevel="2">
      <c r="B19" s="19"/>
      <c r="C19" s="28" t="s">
        <v>45</v>
      </c>
      <c r="D19" s="32" t="s">
        <v>46</v>
      </c>
      <c r="E19" s="16" t="s">
        <v>47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f>N20+N21+N22+N23</f>
        <v>21288.545999999998</v>
      </c>
      <c r="O19" s="22">
        <f t="shared" si="4"/>
        <v>21288.545999999998</v>
      </c>
      <c r="P19" s="17">
        <f>P20+P21+P22+P23</f>
        <v>22497.225999999999</v>
      </c>
      <c r="Q19" s="18">
        <v>0</v>
      </c>
      <c r="R19" s="17">
        <f t="shared" ref="R19:W19" si="6">R20+R21+R22+R23</f>
        <v>22497.225999999999</v>
      </c>
      <c r="S19" s="17">
        <f t="shared" si="6"/>
        <v>21249.188999999998</v>
      </c>
      <c r="T19" s="17">
        <f t="shared" si="6"/>
        <v>22558.620000000003</v>
      </c>
      <c r="U19" s="17">
        <f t="shared" si="6"/>
        <v>21381.3635904</v>
      </c>
      <c r="V19" s="17">
        <f t="shared" si="6"/>
        <v>21546.048999999999</v>
      </c>
      <c r="W19" s="17">
        <f t="shared" si="6"/>
        <v>22000.280999999995</v>
      </c>
      <c r="X19" s="17">
        <v>0</v>
      </c>
      <c r="Y19" s="17">
        <f>Y20+Y21+Y22+Y23</f>
        <v>22008.550999999999</v>
      </c>
      <c r="Z19" s="17">
        <v>0</v>
      </c>
      <c r="AA19" s="17">
        <f>AA20+AA21+AA22+AA23</f>
        <v>22009.550999999999</v>
      </c>
      <c r="AB19" s="17">
        <v>0</v>
      </c>
      <c r="AC19" s="128" t="e">
        <v>#DIV/0!</v>
      </c>
    </row>
    <row r="20" spans="2:29" outlineLevel="2">
      <c r="B20" s="19"/>
      <c r="C20" s="33" t="s">
        <v>48</v>
      </c>
      <c r="D20" s="34" t="s">
        <v>49</v>
      </c>
      <c r="E20" s="16" t="s">
        <v>47</v>
      </c>
      <c r="F20" s="22"/>
      <c r="G20" s="22"/>
      <c r="H20" s="22"/>
      <c r="I20" s="22"/>
      <c r="J20" s="22"/>
      <c r="K20" s="22"/>
      <c r="L20" s="22"/>
      <c r="M20" s="22"/>
      <c r="N20" s="22">
        <v>447.3</v>
      </c>
      <c r="O20" s="22">
        <f t="shared" si="4"/>
        <v>447.3</v>
      </c>
      <c r="P20" s="22">
        <v>447.3</v>
      </c>
      <c r="Q20" s="23"/>
      <c r="R20" s="22">
        <v>447.3</v>
      </c>
      <c r="S20" s="22">
        <f>'расшифровки ВО'!M74</f>
        <v>455.92700000000002</v>
      </c>
      <c r="T20" s="22">
        <v>448.52</v>
      </c>
      <c r="U20" s="22">
        <f>447.3*0.9504</f>
        <v>425.11392000000001</v>
      </c>
      <c r="V20" s="22">
        <f>'расшифровки ВО'!O74</f>
        <v>457.17599999999999</v>
      </c>
      <c r="W20" s="22">
        <f>'расшифровки ВО'!Q74</f>
        <v>455.92700000000002</v>
      </c>
      <c r="X20" s="22"/>
      <c r="Y20" s="22">
        <f>'расшифровки ВО'!S74</f>
        <v>455.92700000000002</v>
      </c>
      <c r="Z20" s="22"/>
      <c r="AA20" s="22">
        <f>'расшифровки ВО'!U74</f>
        <v>455.92700000000002</v>
      </c>
      <c r="AB20" s="22"/>
      <c r="AC20" s="128" t="e">
        <v>#DIV/0!</v>
      </c>
    </row>
    <row r="21" spans="2:29" outlineLevel="2">
      <c r="B21" s="19"/>
      <c r="C21" s="33" t="s">
        <v>50</v>
      </c>
      <c r="D21" s="34" t="s">
        <v>51</v>
      </c>
      <c r="E21" s="16" t="s">
        <v>47</v>
      </c>
      <c r="F21" s="22"/>
      <c r="G21" s="22"/>
      <c r="H21" s="22"/>
      <c r="I21" s="22"/>
      <c r="J21" s="22"/>
      <c r="K21" s="22"/>
      <c r="L21" s="22"/>
      <c r="M21" s="22"/>
      <c r="N21" s="22">
        <v>10125.646000000001</v>
      </c>
      <c r="O21" s="22">
        <f t="shared" si="4"/>
        <v>10125.646000000001</v>
      </c>
      <c r="P21" s="22">
        <v>10097.626</v>
      </c>
      <c r="Q21" s="23"/>
      <c r="R21" s="22">
        <v>10097.626</v>
      </c>
      <c r="S21" s="22">
        <f>'расшифровки ВО'!M75</f>
        <v>10324.454</v>
      </c>
      <c r="T21" s="22">
        <v>10125.200000000001</v>
      </c>
      <c r="U21" s="22">
        <f>10097.626*0.9504</f>
        <v>9596.7837503999999</v>
      </c>
      <c r="V21" s="22">
        <f>'расшифровки ВО'!O75</f>
        <v>10361.373</v>
      </c>
      <c r="W21" s="22">
        <f>'расшифровки ВО'!Q75</f>
        <v>10336.346</v>
      </c>
      <c r="X21" s="22"/>
      <c r="Y21" s="22">
        <f>'расшифровки ВО'!S75</f>
        <v>10344.616</v>
      </c>
      <c r="Z21" s="22"/>
      <c r="AA21" s="22">
        <f>'расшифровки ВО'!U75</f>
        <v>10345.616</v>
      </c>
      <c r="AB21" s="22"/>
      <c r="AC21" s="128" t="e">
        <v>#DIV/0!</v>
      </c>
    </row>
    <row r="22" spans="2:29" outlineLevel="2">
      <c r="B22" s="19"/>
      <c r="C22" s="33" t="s">
        <v>52</v>
      </c>
      <c r="D22" s="34" t="s">
        <v>53</v>
      </c>
      <c r="E22" s="16" t="s">
        <v>47</v>
      </c>
      <c r="F22" s="22"/>
      <c r="G22" s="22"/>
      <c r="H22" s="22"/>
      <c r="I22" s="22"/>
      <c r="J22" s="22"/>
      <c r="K22" s="22"/>
      <c r="L22" s="22"/>
      <c r="M22" s="22"/>
      <c r="N22" s="22">
        <v>9668.9</v>
      </c>
      <c r="O22" s="22">
        <f t="shared" si="4"/>
        <v>9668.9</v>
      </c>
      <c r="P22" s="22">
        <v>10905.6</v>
      </c>
      <c r="Q22" s="23"/>
      <c r="R22" s="22">
        <v>10905.6</v>
      </c>
      <c r="S22" s="22">
        <f>'расшифровки ВО'!M76</f>
        <v>9413.1</v>
      </c>
      <c r="T22" s="22">
        <v>10935.4</v>
      </c>
      <c r="U22" s="22">
        <f>10905.6*0.9504</f>
        <v>10364.68224</v>
      </c>
      <c r="V22" s="22">
        <f>'расшифровки ВО'!O76</f>
        <v>9668.9</v>
      </c>
      <c r="W22" s="22">
        <f>'расшифровки ВО'!Q76</f>
        <v>10152.299999999999</v>
      </c>
      <c r="X22" s="22"/>
      <c r="Y22" s="22">
        <f>'расшифровки ВО'!S76</f>
        <v>10152.299999999999</v>
      </c>
      <c r="Z22" s="22"/>
      <c r="AA22" s="22">
        <f>'расшифровки ВО'!U76</f>
        <v>10152.299999999999</v>
      </c>
      <c r="AB22" s="22"/>
      <c r="AC22" s="128" t="e">
        <v>#DIV/0!</v>
      </c>
    </row>
    <row r="23" spans="2:29" outlineLevel="2">
      <c r="B23" s="19"/>
      <c r="C23" s="33" t="s">
        <v>54</v>
      </c>
      <c r="D23" s="34" t="s">
        <v>55</v>
      </c>
      <c r="E23" s="16" t="s">
        <v>47</v>
      </c>
      <c r="F23" s="22"/>
      <c r="G23" s="22"/>
      <c r="H23" s="22"/>
      <c r="I23" s="22"/>
      <c r="J23" s="22"/>
      <c r="K23" s="22"/>
      <c r="L23" s="22"/>
      <c r="M23" s="22"/>
      <c r="N23" s="22">
        <v>1046.7</v>
      </c>
      <c r="O23" s="22">
        <f t="shared" si="4"/>
        <v>1046.7</v>
      </c>
      <c r="P23" s="22">
        <v>1046.7</v>
      </c>
      <c r="Q23" s="23"/>
      <c r="R23" s="22">
        <v>1046.7</v>
      </c>
      <c r="S23" s="22">
        <f>'расшифровки ВО'!M77</f>
        <v>1055.7080000000001</v>
      </c>
      <c r="T23" s="22">
        <v>1049.5</v>
      </c>
      <c r="U23" s="22">
        <f>1046.7*0.9504</f>
        <v>994.78368000000012</v>
      </c>
      <c r="V23" s="22">
        <f>'расшифровки ВО'!O77</f>
        <v>1058.5999999999999</v>
      </c>
      <c r="W23" s="22">
        <f>'расшифровки ВО'!Q77</f>
        <v>1055.7080000000001</v>
      </c>
      <c r="X23" s="22"/>
      <c r="Y23" s="22">
        <f>'расшифровки ВО'!S77</f>
        <v>1055.7080000000001</v>
      </c>
      <c r="Z23" s="22"/>
      <c r="AA23" s="22">
        <f>'расшифровки ВО'!U77</f>
        <v>1055.7080000000001</v>
      </c>
      <c r="AB23" s="22"/>
      <c r="AC23" s="128" t="e">
        <v>#DIV/0!</v>
      </c>
    </row>
    <row r="24" spans="2:29" ht="21" hidden="1" outlineLevel="2">
      <c r="B24" s="19"/>
      <c r="C24" s="33" t="s">
        <v>56</v>
      </c>
      <c r="D24" s="34" t="s">
        <v>57</v>
      </c>
      <c r="E24" s="16" t="s">
        <v>47</v>
      </c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4"/>
        <v>0</v>
      </c>
      <c r="P24" s="22"/>
      <c r="Q24" s="23"/>
      <c r="R24" s="23"/>
      <c r="S24" s="23"/>
      <c r="T24" s="22"/>
      <c r="U24" s="22"/>
      <c r="V24" s="22"/>
      <c r="W24" s="22"/>
      <c r="X24" s="22"/>
      <c r="Y24" s="22"/>
      <c r="Z24" s="22"/>
      <c r="AA24" s="22"/>
      <c r="AB24" s="22"/>
      <c r="AC24" s="128" t="e">
        <v>#DIV/0!</v>
      </c>
    </row>
    <row r="25" spans="2:29" ht="31.5" hidden="1" outlineLevel="2">
      <c r="B25" s="19"/>
      <c r="C25" s="28" t="s">
        <v>58</v>
      </c>
      <c r="D25" s="32" t="s">
        <v>59</v>
      </c>
      <c r="E25" s="16"/>
      <c r="F25" s="30"/>
      <c r="G25" s="30"/>
      <c r="H25" s="30"/>
      <c r="I25" s="30"/>
      <c r="J25" s="30"/>
      <c r="K25" s="30"/>
      <c r="L25" s="30"/>
      <c r="M25" s="30"/>
      <c r="N25" s="30"/>
      <c r="O25" s="22">
        <f t="shared" si="4"/>
        <v>0</v>
      </c>
      <c r="P25" s="30"/>
      <c r="Q25" s="31"/>
      <c r="R25" s="31"/>
      <c r="S25" s="31"/>
      <c r="T25" s="30"/>
      <c r="U25" s="30"/>
      <c r="V25" s="30"/>
      <c r="W25" s="30"/>
      <c r="X25" s="30"/>
      <c r="Y25" s="30"/>
      <c r="Z25" s="30"/>
      <c r="AA25" s="30"/>
      <c r="AB25" s="30"/>
      <c r="AC25" s="128" t="e">
        <v>#DIV/0!</v>
      </c>
    </row>
    <row r="26" spans="2:29" hidden="1" outlineLevel="2">
      <c r="B26" s="19"/>
      <c r="C26" s="28" t="s">
        <v>60</v>
      </c>
      <c r="D26" s="34" t="s">
        <v>61</v>
      </c>
      <c r="E26" s="16" t="s">
        <v>62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  <c r="O26" s="22">
        <f t="shared" si="4"/>
        <v>0</v>
      </c>
      <c r="P26" s="17">
        <v>0</v>
      </c>
      <c r="Q26" s="18">
        <v>0</v>
      </c>
      <c r="R26" s="18"/>
      <c r="S26" s="18"/>
      <c r="T26" s="17">
        <v>0</v>
      </c>
      <c r="U26" s="17">
        <v>0</v>
      </c>
      <c r="V26" s="17"/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28" t="e">
        <v>#DIV/0!</v>
      </c>
    </row>
    <row r="27" spans="2:29" hidden="1" outlineLevel="2">
      <c r="B27" s="19"/>
      <c r="C27" s="28" t="s">
        <v>63</v>
      </c>
      <c r="D27" s="35" t="s">
        <v>49</v>
      </c>
      <c r="E27" s="16" t="s">
        <v>62</v>
      </c>
      <c r="F27" s="22"/>
      <c r="G27" s="22"/>
      <c r="H27" s="22"/>
      <c r="I27" s="22"/>
      <c r="J27" s="22"/>
      <c r="K27" s="22"/>
      <c r="L27" s="22"/>
      <c r="M27" s="22"/>
      <c r="N27" s="22"/>
      <c r="O27" s="22">
        <f t="shared" si="4"/>
        <v>0</v>
      </c>
      <c r="P27" s="22"/>
      <c r="Q27" s="23"/>
      <c r="R27" s="23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128" t="e">
        <v>#DIV/0!</v>
      </c>
    </row>
    <row r="28" spans="2:29" hidden="1" outlineLevel="2">
      <c r="B28" s="19"/>
      <c r="C28" s="28" t="s">
        <v>64</v>
      </c>
      <c r="D28" s="35" t="s">
        <v>51</v>
      </c>
      <c r="E28" s="16" t="s">
        <v>62</v>
      </c>
      <c r="F28" s="22"/>
      <c r="G28" s="22"/>
      <c r="H28" s="22"/>
      <c r="I28" s="22"/>
      <c r="J28" s="22"/>
      <c r="K28" s="22"/>
      <c r="L28" s="22"/>
      <c r="M28" s="22"/>
      <c r="N28" s="22"/>
      <c r="O28" s="22">
        <f t="shared" si="4"/>
        <v>0</v>
      </c>
      <c r="P28" s="22"/>
      <c r="Q28" s="23"/>
      <c r="R28" s="23"/>
      <c r="S28" s="23"/>
      <c r="T28" s="22"/>
      <c r="U28" s="22"/>
      <c r="V28" s="22"/>
      <c r="W28" s="22"/>
      <c r="X28" s="22"/>
      <c r="Y28" s="22"/>
      <c r="Z28" s="22"/>
      <c r="AA28" s="22"/>
      <c r="AB28" s="22"/>
      <c r="AC28" s="128" t="e">
        <v>#DIV/0!</v>
      </c>
    </row>
    <row r="29" spans="2:29" hidden="1" outlineLevel="2">
      <c r="B29" s="19"/>
      <c r="C29" s="28" t="s">
        <v>65</v>
      </c>
      <c r="D29" s="35" t="s">
        <v>53</v>
      </c>
      <c r="E29" s="16" t="s">
        <v>62</v>
      </c>
      <c r="F29" s="22"/>
      <c r="G29" s="22"/>
      <c r="H29" s="22"/>
      <c r="I29" s="22"/>
      <c r="J29" s="22"/>
      <c r="K29" s="22"/>
      <c r="L29" s="22"/>
      <c r="M29" s="22"/>
      <c r="N29" s="22"/>
      <c r="O29" s="22">
        <f t="shared" si="4"/>
        <v>0</v>
      </c>
      <c r="P29" s="22"/>
      <c r="Q29" s="23"/>
      <c r="R29" s="23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128" t="e">
        <v>#DIV/0!</v>
      </c>
    </row>
    <row r="30" spans="2:29" hidden="1" outlineLevel="2">
      <c r="B30" s="19"/>
      <c r="C30" s="28" t="s">
        <v>66</v>
      </c>
      <c r="D30" s="35" t="s">
        <v>55</v>
      </c>
      <c r="E30" s="16" t="s">
        <v>62</v>
      </c>
      <c r="F30" s="22"/>
      <c r="G30" s="22"/>
      <c r="H30" s="22"/>
      <c r="I30" s="22"/>
      <c r="J30" s="22"/>
      <c r="K30" s="22"/>
      <c r="L30" s="22"/>
      <c r="M30" s="22"/>
      <c r="N30" s="22"/>
      <c r="O30" s="22">
        <f t="shared" si="4"/>
        <v>0</v>
      </c>
      <c r="P30" s="22"/>
      <c r="Q30" s="23"/>
      <c r="R30" s="23"/>
      <c r="S30" s="23"/>
      <c r="T30" s="22"/>
      <c r="U30" s="22"/>
      <c r="V30" s="22"/>
      <c r="W30" s="22"/>
      <c r="X30" s="22"/>
      <c r="Y30" s="22"/>
      <c r="Z30" s="22"/>
      <c r="AA30" s="22"/>
      <c r="AB30" s="22"/>
      <c r="AC30" s="128" t="e">
        <v>#DIV/0!</v>
      </c>
    </row>
    <row r="31" spans="2:29" hidden="1" outlineLevel="2">
      <c r="B31" s="19"/>
      <c r="C31" s="28" t="s">
        <v>67</v>
      </c>
      <c r="D31" s="35" t="s">
        <v>68</v>
      </c>
      <c r="E31" s="16" t="s">
        <v>62</v>
      </c>
      <c r="F31" s="22"/>
      <c r="G31" s="22"/>
      <c r="H31" s="22"/>
      <c r="I31" s="22"/>
      <c r="J31" s="22"/>
      <c r="K31" s="22"/>
      <c r="L31" s="22"/>
      <c r="M31" s="22"/>
      <c r="N31" s="22"/>
      <c r="O31" s="22">
        <f t="shared" si="4"/>
        <v>0</v>
      </c>
      <c r="P31" s="22"/>
      <c r="Q31" s="23"/>
      <c r="R31" s="23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128" t="e">
        <v>#DIV/0!</v>
      </c>
    </row>
    <row r="32" spans="2:29" hidden="1" outlineLevel="2">
      <c r="B32" s="19"/>
      <c r="C32" s="28" t="s">
        <v>69</v>
      </c>
      <c r="D32" s="34" t="s">
        <v>70</v>
      </c>
      <c r="E32" s="16" t="s">
        <v>47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/>
      <c r="O32" s="22">
        <f t="shared" si="4"/>
        <v>0</v>
      </c>
      <c r="P32" s="17">
        <v>0</v>
      </c>
      <c r="Q32" s="18">
        <v>0</v>
      </c>
      <c r="R32" s="18"/>
      <c r="S32" s="18"/>
      <c r="T32" s="17">
        <v>0</v>
      </c>
      <c r="U32" s="17">
        <v>0</v>
      </c>
      <c r="V32" s="17"/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28" t="e">
        <v>#DIV/0!</v>
      </c>
    </row>
    <row r="33" spans="2:29" hidden="1" outlineLevel="2">
      <c r="B33" s="19"/>
      <c r="C33" s="28" t="s">
        <v>71</v>
      </c>
      <c r="D33" s="35" t="s">
        <v>49</v>
      </c>
      <c r="E33" s="16" t="s">
        <v>47</v>
      </c>
      <c r="F33" s="22"/>
      <c r="G33" s="22"/>
      <c r="H33" s="22"/>
      <c r="I33" s="22"/>
      <c r="J33" s="22"/>
      <c r="K33" s="22"/>
      <c r="L33" s="22"/>
      <c r="M33" s="22"/>
      <c r="N33" s="22"/>
      <c r="O33" s="22">
        <f t="shared" si="4"/>
        <v>0</v>
      </c>
      <c r="P33" s="22"/>
      <c r="Q33" s="23"/>
      <c r="R33" s="23"/>
      <c r="S33" s="23"/>
      <c r="T33" s="22"/>
      <c r="U33" s="22"/>
      <c r="V33" s="22"/>
      <c r="W33" s="22"/>
      <c r="X33" s="22"/>
      <c r="Y33" s="22"/>
      <c r="Z33" s="22"/>
      <c r="AA33" s="22"/>
      <c r="AB33" s="22"/>
      <c r="AC33" s="128" t="e">
        <v>#DIV/0!</v>
      </c>
    </row>
    <row r="34" spans="2:29" hidden="1" outlineLevel="2">
      <c r="B34" s="19"/>
      <c r="C34" s="28" t="s">
        <v>72</v>
      </c>
      <c r="D34" s="35" t="s">
        <v>51</v>
      </c>
      <c r="E34" s="16" t="s">
        <v>47</v>
      </c>
      <c r="F34" s="22"/>
      <c r="G34" s="22"/>
      <c r="H34" s="22"/>
      <c r="I34" s="22"/>
      <c r="J34" s="22"/>
      <c r="K34" s="22"/>
      <c r="L34" s="22"/>
      <c r="M34" s="22"/>
      <c r="N34" s="22"/>
      <c r="O34" s="22">
        <f t="shared" si="4"/>
        <v>0</v>
      </c>
      <c r="P34" s="22"/>
      <c r="Q34" s="23"/>
      <c r="R34" s="23"/>
      <c r="S34" s="23"/>
      <c r="T34" s="22"/>
      <c r="U34" s="22"/>
      <c r="V34" s="22"/>
      <c r="W34" s="22"/>
      <c r="X34" s="22"/>
      <c r="Y34" s="22"/>
      <c r="Z34" s="22"/>
      <c r="AA34" s="22"/>
      <c r="AB34" s="22"/>
      <c r="AC34" s="128" t="e">
        <v>#DIV/0!</v>
      </c>
    </row>
    <row r="35" spans="2:29" hidden="1" outlineLevel="2">
      <c r="B35" s="19"/>
      <c r="C35" s="28" t="s">
        <v>73</v>
      </c>
      <c r="D35" s="35" t="s">
        <v>53</v>
      </c>
      <c r="E35" s="16" t="s">
        <v>47</v>
      </c>
      <c r="F35" s="22"/>
      <c r="G35" s="22"/>
      <c r="H35" s="22"/>
      <c r="I35" s="22"/>
      <c r="J35" s="22"/>
      <c r="K35" s="22"/>
      <c r="L35" s="22"/>
      <c r="M35" s="22"/>
      <c r="N35" s="22"/>
      <c r="O35" s="22">
        <f t="shared" si="4"/>
        <v>0</v>
      </c>
      <c r="P35" s="22"/>
      <c r="Q35" s="23"/>
      <c r="R35" s="23"/>
      <c r="S35" s="23"/>
      <c r="T35" s="22"/>
      <c r="U35" s="22"/>
      <c r="V35" s="22"/>
      <c r="W35" s="22"/>
      <c r="X35" s="22"/>
      <c r="Y35" s="22"/>
      <c r="Z35" s="22"/>
      <c r="AA35" s="22"/>
      <c r="AB35" s="22"/>
      <c r="AC35" s="128" t="e">
        <v>#DIV/0!</v>
      </c>
    </row>
    <row r="36" spans="2:29" hidden="1" outlineLevel="2">
      <c r="B36" s="19"/>
      <c r="C36" s="28" t="s">
        <v>74</v>
      </c>
      <c r="D36" s="35" t="s">
        <v>55</v>
      </c>
      <c r="E36" s="16" t="s">
        <v>47</v>
      </c>
      <c r="F36" s="22"/>
      <c r="G36" s="22"/>
      <c r="H36" s="22"/>
      <c r="I36" s="22"/>
      <c r="J36" s="22"/>
      <c r="K36" s="22"/>
      <c r="L36" s="22"/>
      <c r="M36" s="22"/>
      <c r="N36" s="22"/>
      <c r="O36" s="22">
        <f t="shared" si="4"/>
        <v>0</v>
      </c>
      <c r="P36" s="22"/>
      <c r="Q36" s="23"/>
      <c r="R36" s="23"/>
      <c r="S36" s="23"/>
      <c r="T36" s="22"/>
      <c r="U36" s="22"/>
      <c r="V36" s="22"/>
      <c r="W36" s="22"/>
      <c r="X36" s="22"/>
      <c r="Y36" s="22"/>
      <c r="Z36" s="22"/>
      <c r="AA36" s="22"/>
      <c r="AB36" s="22"/>
      <c r="AC36" s="128" t="e">
        <v>#DIV/0!</v>
      </c>
    </row>
    <row r="37" spans="2:29" hidden="1" outlineLevel="2">
      <c r="B37" s="19"/>
      <c r="C37" s="28" t="s">
        <v>75</v>
      </c>
      <c r="D37" s="35" t="s">
        <v>68</v>
      </c>
      <c r="E37" s="16" t="s">
        <v>47</v>
      </c>
      <c r="F37" s="22"/>
      <c r="G37" s="22"/>
      <c r="H37" s="22"/>
      <c r="I37" s="22"/>
      <c r="J37" s="22"/>
      <c r="K37" s="22"/>
      <c r="L37" s="22"/>
      <c r="M37" s="22"/>
      <c r="N37" s="22"/>
      <c r="O37" s="22">
        <f t="shared" si="4"/>
        <v>0</v>
      </c>
      <c r="P37" s="22"/>
      <c r="Q37" s="23"/>
      <c r="R37" s="23"/>
      <c r="S37" s="23"/>
      <c r="T37" s="22"/>
      <c r="U37" s="22"/>
      <c r="V37" s="22"/>
      <c r="W37" s="22"/>
      <c r="X37" s="22"/>
      <c r="Y37" s="22"/>
      <c r="Z37" s="22"/>
      <c r="AA37" s="22"/>
      <c r="AB37" s="22"/>
      <c r="AC37" s="128" t="e">
        <v>#DIV/0!</v>
      </c>
    </row>
    <row r="38" spans="2:29" ht="21" hidden="1" outlineLevel="2">
      <c r="B38" s="19"/>
      <c r="C38" s="28" t="s">
        <v>76</v>
      </c>
      <c r="D38" s="29" t="s">
        <v>77</v>
      </c>
      <c r="E38" s="16"/>
      <c r="F38" s="30"/>
      <c r="G38" s="30"/>
      <c r="H38" s="30"/>
      <c r="I38" s="30"/>
      <c r="J38" s="30"/>
      <c r="K38" s="30"/>
      <c r="L38" s="30"/>
      <c r="M38" s="30"/>
      <c r="N38" s="30"/>
      <c r="O38" s="22">
        <f t="shared" si="4"/>
        <v>0</v>
      </c>
      <c r="P38" s="30"/>
      <c r="Q38" s="31"/>
      <c r="R38" s="31"/>
      <c r="S38" s="31"/>
      <c r="T38" s="30"/>
      <c r="U38" s="30"/>
      <c r="V38" s="30"/>
      <c r="W38" s="30"/>
      <c r="X38" s="30"/>
      <c r="Y38" s="30"/>
      <c r="Z38" s="30"/>
      <c r="AA38" s="30"/>
      <c r="AB38" s="30"/>
      <c r="AC38" s="128" t="e">
        <v>#DIV/0!</v>
      </c>
    </row>
    <row r="39" spans="2:29" hidden="1" outlineLevel="2">
      <c r="B39" s="19"/>
      <c r="C39" s="28" t="s">
        <v>78</v>
      </c>
      <c r="D39" s="32" t="s">
        <v>79</v>
      </c>
      <c r="E39" s="16"/>
      <c r="F39" s="30"/>
      <c r="G39" s="30"/>
      <c r="H39" s="30"/>
      <c r="I39" s="30"/>
      <c r="J39" s="30"/>
      <c r="K39" s="30"/>
      <c r="L39" s="30"/>
      <c r="M39" s="30"/>
      <c r="N39" s="30"/>
      <c r="O39" s="22">
        <f t="shared" si="4"/>
        <v>0</v>
      </c>
      <c r="P39" s="30"/>
      <c r="Q39" s="31"/>
      <c r="R39" s="31"/>
      <c r="S39" s="31"/>
      <c r="T39" s="30"/>
      <c r="U39" s="30"/>
      <c r="V39" s="30"/>
      <c r="W39" s="30"/>
      <c r="X39" s="30"/>
      <c r="Y39" s="30"/>
      <c r="Z39" s="30"/>
      <c r="AA39" s="30"/>
      <c r="AB39" s="30"/>
      <c r="AC39" s="128" t="e">
        <v>#DIV/0!</v>
      </c>
    </row>
    <row r="40" spans="2:29" hidden="1" outlineLevel="2">
      <c r="B40" s="19"/>
      <c r="C40" s="33" t="s">
        <v>80</v>
      </c>
      <c r="D40" s="34" t="s">
        <v>49</v>
      </c>
      <c r="E40" s="16" t="s">
        <v>81</v>
      </c>
      <c r="F40" s="22"/>
      <c r="G40" s="22"/>
      <c r="H40" s="22"/>
      <c r="I40" s="22"/>
      <c r="J40" s="22"/>
      <c r="K40" s="22"/>
      <c r="L40" s="22"/>
      <c r="M40" s="22"/>
      <c r="N40" s="22"/>
      <c r="O40" s="22">
        <f t="shared" si="4"/>
        <v>0</v>
      </c>
      <c r="P40" s="22"/>
      <c r="Q40" s="23"/>
      <c r="R40" s="23"/>
      <c r="S40" s="23"/>
      <c r="T40" s="22"/>
      <c r="U40" s="22"/>
      <c r="V40" s="22"/>
      <c r="W40" s="22"/>
      <c r="X40" s="22"/>
      <c r="Y40" s="22"/>
      <c r="Z40" s="22"/>
      <c r="AA40" s="22"/>
      <c r="AB40" s="22"/>
      <c r="AC40" s="128" t="e">
        <v>#DIV/0!</v>
      </c>
    </row>
    <row r="41" spans="2:29" hidden="1" outlineLevel="2">
      <c r="B41" s="19"/>
      <c r="C41" s="33" t="s">
        <v>82</v>
      </c>
      <c r="D41" s="34" t="s">
        <v>51</v>
      </c>
      <c r="E41" s="16" t="s">
        <v>81</v>
      </c>
      <c r="F41" s="22"/>
      <c r="G41" s="22"/>
      <c r="H41" s="22"/>
      <c r="I41" s="22"/>
      <c r="J41" s="22"/>
      <c r="K41" s="22"/>
      <c r="L41" s="22"/>
      <c r="M41" s="22"/>
      <c r="N41" s="22"/>
      <c r="O41" s="22">
        <f t="shared" si="4"/>
        <v>0</v>
      </c>
      <c r="P41" s="22"/>
      <c r="Q41" s="23"/>
      <c r="R41" s="23"/>
      <c r="S41" s="23"/>
      <c r="T41" s="22"/>
      <c r="U41" s="22"/>
      <c r="V41" s="22"/>
      <c r="W41" s="22"/>
      <c r="X41" s="22"/>
      <c r="Y41" s="22"/>
      <c r="Z41" s="22"/>
      <c r="AA41" s="22"/>
      <c r="AB41" s="22"/>
      <c r="AC41" s="128" t="e">
        <v>#DIV/0!</v>
      </c>
    </row>
    <row r="42" spans="2:29" hidden="1" outlineLevel="2">
      <c r="B42" s="19"/>
      <c r="C42" s="33" t="s">
        <v>83</v>
      </c>
      <c r="D42" s="34" t="s">
        <v>53</v>
      </c>
      <c r="E42" s="16" t="s">
        <v>81</v>
      </c>
      <c r="F42" s="22"/>
      <c r="G42" s="22"/>
      <c r="H42" s="22"/>
      <c r="I42" s="22"/>
      <c r="J42" s="22"/>
      <c r="K42" s="22"/>
      <c r="L42" s="22"/>
      <c r="M42" s="22"/>
      <c r="N42" s="22"/>
      <c r="O42" s="22">
        <f t="shared" si="4"/>
        <v>0</v>
      </c>
      <c r="P42" s="22"/>
      <c r="Q42" s="23"/>
      <c r="R42" s="23"/>
      <c r="S42" s="23"/>
      <c r="T42" s="22"/>
      <c r="U42" s="22"/>
      <c r="V42" s="22"/>
      <c r="W42" s="22"/>
      <c r="X42" s="22"/>
      <c r="Y42" s="22"/>
      <c r="Z42" s="22"/>
      <c r="AA42" s="22"/>
      <c r="AB42" s="22"/>
      <c r="AC42" s="128" t="e">
        <v>#DIV/0!</v>
      </c>
    </row>
    <row r="43" spans="2:29" hidden="1" outlineLevel="2">
      <c r="B43" s="19"/>
      <c r="C43" s="33" t="s">
        <v>84</v>
      </c>
      <c r="D43" s="34" t="s">
        <v>55</v>
      </c>
      <c r="E43" s="16" t="s">
        <v>81</v>
      </c>
      <c r="F43" s="22"/>
      <c r="G43" s="22"/>
      <c r="H43" s="22"/>
      <c r="I43" s="22"/>
      <c r="J43" s="22"/>
      <c r="K43" s="22"/>
      <c r="L43" s="22"/>
      <c r="M43" s="22"/>
      <c r="N43" s="22"/>
      <c r="O43" s="22">
        <f t="shared" si="4"/>
        <v>0</v>
      </c>
      <c r="P43" s="22"/>
      <c r="Q43" s="23"/>
      <c r="R43" s="23"/>
      <c r="S43" s="23"/>
      <c r="T43" s="22"/>
      <c r="U43" s="22"/>
      <c r="V43" s="22"/>
      <c r="W43" s="22"/>
      <c r="X43" s="22"/>
      <c r="Y43" s="22"/>
      <c r="Z43" s="22"/>
      <c r="AA43" s="22"/>
      <c r="AB43" s="22"/>
      <c r="AC43" s="128" t="e">
        <v>#DIV/0!</v>
      </c>
    </row>
    <row r="44" spans="2:29" ht="21" hidden="1" outlineLevel="2">
      <c r="B44" s="19"/>
      <c r="C44" s="33" t="s">
        <v>85</v>
      </c>
      <c r="D44" s="34" t="s">
        <v>57</v>
      </c>
      <c r="E44" s="16" t="s">
        <v>81</v>
      </c>
      <c r="F44" s="22"/>
      <c r="G44" s="22"/>
      <c r="H44" s="22"/>
      <c r="I44" s="22"/>
      <c r="J44" s="22"/>
      <c r="K44" s="22"/>
      <c r="L44" s="22"/>
      <c r="M44" s="22"/>
      <c r="N44" s="22"/>
      <c r="O44" s="22">
        <f t="shared" si="4"/>
        <v>0</v>
      </c>
      <c r="P44" s="22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128" t="e">
        <v>#DIV/0!</v>
      </c>
    </row>
    <row r="45" spans="2:29" ht="31.5" hidden="1" outlineLevel="2">
      <c r="B45" s="19"/>
      <c r="C45" s="33" t="s">
        <v>86</v>
      </c>
      <c r="D45" s="34" t="s">
        <v>87</v>
      </c>
      <c r="E45" s="16" t="s">
        <v>81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22">
        <f t="shared" si="4"/>
        <v>0</v>
      </c>
      <c r="P45" s="17">
        <v>0</v>
      </c>
      <c r="Q45" s="18">
        <v>0</v>
      </c>
      <c r="R45" s="18"/>
      <c r="S45" s="18"/>
      <c r="T45" s="17">
        <v>0</v>
      </c>
      <c r="U45" s="17">
        <v>0</v>
      </c>
      <c r="V45" s="17"/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28" t="e">
        <v>#DIV/0!</v>
      </c>
    </row>
    <row r="46" spans="2:29" hidden="1" outlineLevel="2">
      <c r="B46" s="19"/>
      <c r="C46" s="28" t="s">
        <v>88</v>
      </c>
      <c r="D46" s="32" t="s">
        <v>89</v>
      </c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22">
        <f t="shared" si="4"/>
        <v>0</v>
      </c>
      <c r="P46" s="30"/>
      <c r="Q46" s="31"/>
      <c r="R46" s="31"/>
      <c r="S46" s="31"/>
      <c r="T46" s="30"/>
      <c r="U46" s="30"/>
      <c r="V46" s="30"/>
      <c r="W46" s="30"/>
      <c r="X46" s="30"/>
      <c r="Y46" s="30"/>
      <c r="Z46" s="30"/>
      <c r="AA46" s="30"/>
      <c r="AB46" s="30"/>
      <c r="AC46" s="128" t="e">
        <v>#DIV/0!</v>
      </c>
    </row>
    <row r="47" spans="2:29" hidden="1" outlineLevel="2">
      <c r="B47" s="19"/>
      <c r="C47" s="28" t="s">
        <v>90</v>
      </c>
      <c r="D47" s="34" t="s">
        <v>91</v>
      </c>
      <c r="E47" s="16" t="s">
        <v>92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22">
        <f t="shared" si="4"/>
        <v>0</v>
      </c>
      <c r="P47" s="17">
        <v>0</v>
      </c>
      <c r="Q47" s="18">
        <v>0</v>
      </c>
      <c r="R47" s="18"/>
      <c r="S47" s="18"/>
      <c r="T47" s="17">
        <v>0</v>
      </c>
      <c r="U47" s="17">
        <v>0</v>
      </c>
      <c r="V47" s="17"/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28" t="e">
        <v>#DIV/0!</v>
      </c>
    </row>
    <row r="48" spans="2:29" hidden="1" outlineLevel="2">
      <c r="B48" s="19"/>
      <c r="C48" s="28" t="s">
        <v>93</v>
      </c>
      <c r="D48" s="35" t="s">
        <v>49</v>
      </c>
      <c r="E48" s="16" t="s">
        <v>92</v>
      </c>
      <c r="F48" s="22"/>
      <c r="G48" s="22"/>
      <c r="H48" s="22"/>
      <c r="I48" s="22"/>
      <c r="J48" s="22"/>
      <c r="K48" s="22"/>
      <c r="L48" s="22"/>
      <c r="M48" s="22"/>
      <c r="N48" s="22"/>
      <c r="O48" s="22">
        <f t="shared" si="4"/>
        <v>0</v>
      </c>
      <c r="P48" s="22"/>
      <c r="Q48" s="23"/>
      <c r="R48" s="23"/>
      <c r="S48" s="23"/>
      <c r="T48" s="22"/>
      <c r="U48" s="22"/>
      <c r="V48" s="22"/>
      <c r="W48" s="22"/>
      <c r="X48" s="22"/>
      <c r="Y48" s="22"/>
      <c r="Z48" s="22"/>
      <c r="AA48" s="22"/>
      <c r="AB48" s="22"/>
      <c r="AC48" s="128" t="e">
        <v>#DIV/0!</v>
      </c>
    </row>
    <row r="49" spans="2:29" hidden="1" outlineLevel="2">
      <c r="B49" s="19"/>
      <c r="C49" s="28" t="s">
        <v>94</v>
      </c>
      <c r="D49" s="35" t="s">
        <v>51</v>
      </c>
      <c r="E49" s="16" t="s">
        <v>92</v>
      </c>
      <c r="F49" s="22"/>
      <c r="G49" s="22"/>
      <c r="H49" s="22"/>
      <c r="I49" s="22"/>
      <c r="J49" s="22"/>
      <c r="K49" s="22"/>
      <c r="L49" s="22"/>
      <c r="M49" s="22"/>
      <c r="N49" s="22"/>
      <c r="O49" s="22">
        <f t="shared" si="4"/>
        <v>0</v>
      </c>
      <c r="P49" s="22"/>
      <c r="Q49" s="23"/>
      <c r="R49" s="23"/>
      <c r="S49" s="23"/>
      <c r="T49" s="22"/>
      <c r="U49" s="22"/>
      <c r="V49" s="22"/>
      <c r="W49" s="22"/>
      <c r="X49" s="22"/>
      <c r="Y49" s="22"/>
      <c r="Z49" s="22"/>
      <c r="AA49" s="22"/>
      <c r="AB49" s="22"/>
      <c r="AC49" s="128" t="e">
        <v>#DIV/0!</v>
      </c>
    </row>
    <row r="50" spans="2:29" hidden="1" outlineLevel="2">
      <c r="B50" s="19"/>
      <c r="C50" s="28" t="s">
        <v>95</v>
      </c>
      <c r="D50" s="35" t="s">
        <v>53</v>
      </c>
      <c r="E50" s="16" t="s">
        <v>92</v>
      </c>
      <c r="F50" s="22"/>
      <c r="G50" s="22"/>
      <c r="H50" s="22"/>
      <c r="I50" s="22"/>
      <c r="J50" s="22"/>
      <c r="K50" s="22"/>
      <c r="L50" s="22"/>
      <c r="M50" s="22"/>
      <c r="N50" s="22"/>
      <c r="O50" s="22">
        <f t="shared" si="4"/>
        <v>0</v>
      </c>
      <c r="P50" s="22"/>
      <c r="Q50" s="23"/>
      <c r="R50" s="23"/>
      <c r="S50" s="23"/>
      <c r="T50" s="22"/>
      <c r="U50" s="22"/>
      <c r="V50" s="22"/>
      <c r="W50" s="22"/>
      <c r="X50" s="22"/>
      <c r="Y50" s="22"/>
      <c r="Z50" s="22"/>
      <c r="AA50" s="22"/>
      <c r="AB50" s="22"/>
      <c r="AC50" s="128" t="e">
        <v>#DIV/0!</v>
      </c>
    </row>
    <row r="51" spans="2:29" hidden="1" outlineLevel="2">
      <c r="B51" s="19"/>
      <c r="C51" s="28" t="s">
        <v>96</v>
      </c>
      <c r="D51" s="35" t="s">
        <v>55</v>
      </c>
      <c r="E51" s="16" t="s">
        <v>92</v>
      </c>
      <c r="F51" s="22"/>
      <c r="G51" s="22"/>
      <c r="H51" s="22"/>
      <c r="I51" s="22"/>
      <c r="J51" s="22"/>
      <c r="K51" s="22"/>
      <c r="L51" s="22"/>
      <c r="M51" s="22"/>
      <c r="N51" s="22"/>
      <c r="O51" s="22">
        <f t="shared" si="4"/>
        <v>0</v>
      </c>
      <c r="P51" s="22"/>
      <c r="Q51" s="23"/>
      <c r="R51" s="23"/>
      <c r="S51" s="23"/>
      <c r="T51" s="22"/>
      <c r="U51" s="22"/>
      <c r="V51" s="22"/>
      <c r="W51" s="22"/>
      <c r="X51" s="22"/>
      <c r="Y51" s="22"/>
      <c r="Z51" s="22"/>
      <c r="AA51" s="22"/>
      <c r="AB51" s="22"/>
      <c r="AC51" s="128" t="e">
        <v>#DIV/0!</v>
      </c>
    </row>
    <row r="52" spans="2:29" hidden="1" outlineLevel="2">
      <c r="B52" s="19"/>
      <c r="C52" s="28" t="s">
        <v>97</v>
      </c>
      <c r="D52" s="35" t="s">
        <v>68</v>
      </c>
      <c r="E52" s="16" t="s">
        <v>92</v>
      </c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4"/>
        <v>0</v>
      </c>
      <c r="P52" s="22"/>
      <c r="Q52" s="23"/>
      <c r="R52" s="23"/>
      <c r="S52" s="23"/>
      <c r="T52" s="22"/>
      <c r="U52" s="22"/>
      <c r="V52" s="22"/>
      <c r="W52" s="22"/>
      <c r="X52" s="22"/>
      <c r="Y52" s="22"/>
      <c r="Z52" s="22"/>
      <c r="AA52" s="22"/>
      <c r="AB52" s="22"/>
      <c r="AC52" s="128" t="e">
        <v>#DIV/0!</v>
      </c>
    </row>
    <row r="53" spans="2:29" hidden="1" outlineLevel="2">
      <c r="B53" s="19"/>
      <c r="C53" s="28" t="s">
        <v>98</v>
      </c>
      <c r="D53" s="34" t="s">
        <v>99</v>
      </c>
      <c r="E53" s="16" t="s">
        <v>100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/>
      <c r="O53" s="22">
        <f t="shared" si="4"/>
        <v>0</v>
      </c>
      <c r="P53" s="17">
        <v>0</v>
      </c>
      <c r="Q53" s="18">
        <v>0</v>
      </c>
      <c r="R53" s="18"/>
      <c r="S53" s="18"/>
      <c r="T53" s="17">
        <v>0</v>
      </c>
      <c r="U53" s="17">
        <v>0</v>
      </c>
      <c r="V53" s="17"/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28" t="e">
        <v>#DIV/0!</v>
      </c>
    </row>
    <row r="54" spans="2:29" outlineLevel="2">
      <c r="B54" s="19"/>
      <c r="C54" s="28" t="s">
        <v>101</v>
      </c>
      <c r="D54" s="35" t="s">
        <v>49</v>
      </c>
      <c r="E54" s="16" t="s">
        <v>100</v>
      </c>
      <c r="F54" s="22"/>
      <c r="G54" s="22"/>
      <c r="H54" s="22"/>
      <c r="I54" s="22"/>
      <c r="J54" s="22"/>
      <c r="K54" s="22"/>
      <c r="L54" s="22"/>
      <c r="M54" s="22"/>
      <c r="N54" s="22">
        <f>5.514978976</f>
        <v>5.5149789760000001</v>
      </c>
      <c r="O54" s="22">
        <f t="shared" si="4"/>
        <v>5.5149789760000001</v>
      </c>
      <c r="P54" s="22">
        <v>5.5616469999999998</v>
      </c>
      <c r="Q54" s="23"/>
      <c r="R54" s="22">
        <v>5.5616469999999998</v>
      </c>
      <c r="S54" s="22">
        <f>'расшифровки ВО'!M94</f>
        <v>6.0140000000000002</v>
      </c>
      <c r="T54" s="22">
        <f>P54*1.079</f>
        <v>6.0010171129999996</v>
      </c>
      <c r="U54" s="22">
        <v>5.56</v>
      </c>
      <c r="V54" s="22">
        <f>'расшифровки ВО'!O94</f>
        <v>6.6849999999999996</v>
      </c>
      <c r="W54" s="22">
        <f>'расшифровки ВО'!Q94</f>
        <v>7.3529999999999998</v>
      </c>
      <c r="X54" s="22"/>
      <c r="Y54" s="22">
        <f>'расшифровки ВО'!S94</f>
        <v>8.0879999999999992</v>
      </c>
      <c r="Z54" s="22"/>
      <c r="AA54" s="22">
        <f>'расшифровки ВО'!U94</f>
        <v>8.8970000000000002</v>
      </c>
      <c r="AB54" s="22"/>
      <c r="AC54" s="128" t="e">
        <v>#DIV/0!</v>
      </c>
    </row>
    <row r="55" spans="2:29" outlineLevel="2">
      <c r="B55" s="19"/>
      <c r="C55" s="28" t="s">
        <v>102</v>
      </c>
      <c r="D55" s="35" t="s">
        <v>51</v>
      </c>
      <c r="E55" s="16" t="s">
        <v>100</v>
      </c>
      <c r="F55" s="22"/>
      <c r="G55" s="22"/>
      <c r="H55" s="22"/>
      <c r="I55" s="22"/>
      <c r="J55" s="22"/>
      <c r="K55" s="22"/>
      <c r="L55" s="22"/>
      <c r="M55" s="22"/>
      <c r="N55" s="22">
        <v>3.6351268800000001</v>
      </c>
      <c r="O55" s="22">
        <f t="shared" si="4"/>
        <v>3.6351268800000001</v>
      </c>
      <c r="P55" s="22">
        <v>3.6459709999999999</v>
      </c>
      <c r="Q55" s="23"/>
      <c r="R55" s="22">
        <v>3.6459709999999999</v>
      </c>
      <c r="S55" s="22">
        <f>'расшифровки ВО'!M95</f>
        <v>4.0880000000000001</v>
      </c>
      <c r="T55" s="22">
        <f>P55*1.08</f>
        <v>3.9376486800000001</v>
      </c>
      <c r="U55" s="22">
        <v>3.6459709999999999</v>
      </c>
      <c r="V55" s="22">
        <f>'расшифровки ВО'!O95</f>
        <v>4.5419999999999998</v>
      </c>
      <c r="W55" s="22">
        <f>'расшифровки ВО'!Q95</f>
        <v>4.875</v>
      </c>
      <c r="X55" s="22"/>
      <c r="Y55" s="22">
        <f>'расшифровки ВО'!S95</f>
        <v>5.4960000000000004</v>
      </c>
      <c r="Z55" s="22"/>
      <c r="AA55" s="22">
        <f>'расшифровки ВО'!U95</f>
        <v>6.0460000000000003</v>
      </c>
      <c r="AB55" s="22"/>
      <c r="AC55" s="128" t="e">
        <v>#DIV/0!</v>
      </c>
    </row>
    <row r="56" spans="2:29" outlineLevel="2">
      <c r="B56" s="19"/>
      <c r="C56" s="28" t="s">
        <v>103</v>
      </c>
      <c r="D56" s="35" t="s">
        <v>53</v>
      </c>
      <c r="E56" s="16" t="s">
        <v>100</v>
      </c>
      <c r="F56" s="22"/>
      <c r="G56" s="22"/>
      <c r="H56" s="22"/>
      <c r="I56" s="22"/>
      <c r="J56" s="22"/>
      <c r="K56" s="22"/>
      <c r="L56" s="22"/>
      <c r="M56" s="22"/>
      <c r="N56" s="22">
        <v>3.438002</v>
      </c>
      <c r="O56" s="22">
        <f t="shared" si="4"/>
        <v>3.438002</v>
      </c>
      <c r="P56" s="22">
        <f>3.4419999</f>
        <v>3.4419998999999999</v>
      </c>
      <c r="Q56" s="23"/>
      <c r="R56" s="22">
        <f>3.4419999</f>
        <v>3.4419998999999999</v>
      </c>
      <c r="S56" s="22">
        <f>'расшифровки ВО'!M96</f>
        <v>3.7702</v>
      </c>
      <c r="T56" s="22">
        <f>P56*1.08</f>
        <v>3.7173598920000002</v>
      </c>
      <c r="U56" s="22">
        <f>3.4419</f>
        <v>3.4419</v>
      </c>
      <c r="V56" s="22">
        <f>'расшифровки ВО'!O96</f>
        <v>4.18</v>
      </c>
      <c r="W56" s="22">
        <f>'расшифровки ВО'!Q96</f>
        <v>4.5980999999999996</v>
      </c>
      <c r="X56" s="22"/>
      <c r="Y56" s="22">
        <f>'расшифровки ВО'!S96</f>
        <v>5.0578000000000003</v>
      </c>
      <c r="Z56" s="22"/>
      <c r="AA56" s="22">
        <f>'расшифровки ВО'!U96</f>
        <v>5.5636000000000001</v>
      </c>
      <c r="AB56" s="22"/>
      <c r="AC56" s="128" t="e">
        <v>#DIV/0!</v>
      </c>
    </row>
    <row r="57" spans="2:29" outlineLevel="2">
      <c r="B57" s="19"/>
      <c r="C57" s="28" t="s">
        <v>104</v>
      </c>
      <c r="D57" s="35" t="s">
        <v>55</v>
      </c>
      <c r="E57" s="16" t="s">
        <v>100</v>
      </c>
      <c r="F57" s="22"/>
      <c r="G57" s="22"/>
      <c r="H57" s="22"/>
      <c r="I57" s="22"/>
      <c r="J57" s="22"/>
      <c r="K57" s="22"/>
      <c r="L57" s="22"/>
      <c r="M57" s="22"/>
      <c r="N57" s="22">
        <v>3.4191259999999999</v>
      </c>
      <c r="O57" s="22">
        <f t="shared" si="4"/>
        <v>3.4191259999999999</v>
      </c>
      <c r="P57" s="22">
        <v>3.3559990000000002</v>
      </c>
      <c r="Q57" s="23"/>
      <c r="R57" s="22">
        <v>3.3559990000000002</v>
      </c>
      <c r="S57" s="22">
        <f>'расшифровки ВО'!M97</f>
        <v>3.7702</v>
      </c>
      <c r="T57" s="22">
        <f>P57*1.08</f>
        <v>3.6244789200000005</v>
      </c>
      <c r="U57" s="22">
        <v>3.3553999999999999</v>
      </c>
      <c r="V57" s="22">
        <f>'расшифровки ВО'!O97</f>
        <v>4.4000000000000004</v>
      </c>
      <c r="W57" s="22">
        <f>'расшифровки ВО'!Q97</f>
        <v>4.84</v>
      </c>
      <c r="X57" s="22"/>
      <c r="Y57" s="22">
        <f>'расшифровки ВО'!S97</f>
        <v>5.3239999999999998</v>
      </c>
      <c r="Z57" s="22"/>
      <c r="AA57" s="22">
        <f>'расшифровки ВО'!U97</f>
        <v>5.8559999999999999</v>
      </c>
      <c r="AB57" s="22"/>
      <c r="AC57" s="128" t="e">
        <v>#DIV/0!</v>
      </c>
    </row>
    <row r="58" spans="2:29" outlineLevel="2">
      <c r="B58" s="19"/>
      <c r="C58" s="28" t="s">
        <v>105</v>
      </c>
      <c r="D58" s="35" t="s">
        <v>68</v>
      </c>
      <c r="E58" s="16" t="s">
        <v>100</v>
      </c>
      <c r="F58" s="22"/>
      <c r="G58" s="22"/>
      <c r="H58" s="22"/>
      <c r="I58" s="22"/>
      <c r="J58" s="22"/>
      <c r="K58" s="22"/>
      <c r="L58" s="22"/>
      <c r="M58" s="22"/>
      <c r="N58" s="22"/>
      <c r="O58" s="22">
        <f t="shared" si="4"/>
        <v>0</v>
      </c>
      <c r="P58" s="22"/>
      <c r="Q58" s="23"/>
      <c r="R58" s="23"/>
      <c r="S58" s="23"/>
      <c r="T58" s="22"/>
      <c r="U58" s="22"/>
      <c r="V58" s="22"/>
      <c r="W58" s="22"/>
      <c r="X58" s="22"/>
      <c r="Y58" s="22"/>
      <c r="Z58" s="22"/>
      <c r="AA58" s="22"/>
      <c r="AB58" s="22"/>
      <c r="AC58" s="128" t="e">
        <v>#DIV/0!</v>
      </c>
    </row>
    <row r="59" spans="2:29" ht="21" outlineLevel="2">
      <c r="B59" s="19"/>
      <c r="C59" s="28" t="s">
        <v>106</v>
      </c>
      <c r="D59" s="29" t="s">
        <v>107</v>
      </c>
      <c r="E59" s="16" t="s">
        <v>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N60+N61+N63+N62</f>
        <v>76095.354769929283</v>
      </c>
      <c r="O59" s="22">
        <f t="shared" si="4"/>
        <v>76095.354769929283</v>
      </c>
      <c r="P59" s="17">
        <f>P60+P61+P63+P62</f>
        <v>80353.174530685996</v>
      </c>
      <c r="Q59" s="18">
        <v>0</v>
      </c>
      <c r="R59" s="17">
        <f t="shared" ref="R59:W59" si="7">R60+R61+R63+R62</f>
        <v>80353.174530685996</v>
      </c>
      <c r="S59" s="17">
        <f t="shared" si="7"/>
        <v>84417.862851600003</v>
      </c>
      <c r="T59" s="17">
        <f t="shared" si="7"/>
        <v>87015.764599775561</v>
      </c>
      <c r="U59" s="17">
        <f t="shared" si="7"/>
        <v>76365.985604157642</v>
      </c>
      <c r="V59" s="17">
        <f t="shared" si="7"/>
        <v>95188.269725999999</v>
      </c>
      <c r="W59" s="17">
        <f t="shared" si="7"/>
        <v>105536.874331</v>
      </c>
      <c r="X59" s="17">
        <v>0</v>
      </c>
      <c r="Y59" s="17">
        <f>Y60+Y61+Y63+Y62</f>
        <v>117511.03744400002</v>
      </c>
      <c r="Z59" s="17">
        <v>0</v>
      </c>
      <c r="AA59" s="17">
        <f>AA60+AA61+AA63+AA62</f>
        <v>129268.75318299999</v>
      </c>
      <c r="AB59" s="17">
        <v>0</v>
      </c>
      <c r="AC59" s="128" t="e">
        <v>#DIV/0!</v>
      </c>
    </row>
    <row r="60" spans="2:29" outlineLevel="2">
      <c r="B60" s="19"/>
      <c r="C60" s="33" t="s">
        <v>108</v>
      </c>
      <c r="D60" s="32" t="s">
        <v>49</v>
      </c>
      <c r="E60" s="16" t="s">
        <v>22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N20*N54</f>
        <v>2466.8500959647999</v>
      </c>
      <c r="O60" s="22">
        <f t="shared" si="4"/>
        <v>2466.8500959647999</v>
      </c>
      <c r="P60" s="17">
        <f>P20*P54</f>
        <v>2487.7247031000002</v>
      </c>
      <c r="Q60" s="18">
        <v>0</v>
      </c>
      <c r="R60" s="17">
        <f>R20*R54</f>
        <v>2487.7247031000002</v>
      </c>
      <c r="S60" s="17">
        <f>S20*S54</f>
        <v>2741.9449780000004</v>
      </c>
      <c r="T60" s="17">
        <f>T20*T54</f>
        <v>2691.5761955227599</v>
      </c>
      <c r="U60" s="17">
        <f>U20*U54+0.09</f>
        <v>2363.7233952000001</v>
      </c>
      <c r="V60" s="17">
        <f>V20*V54+0.09</f>
        <v>3056.3115600000001</v>
      </c>
      <c r="W60" s="17">
        <f>W20*W54</f>
        <v>3352.431231</v>
      </c>
      <c r="X60" s="17">
        <v>0</v>
      </c>
      <c r="Y60" s="17">
        <f>Y20*Y54</f>
        <v>3687.5375759999997</v>
      </c>
      <c r="Z60" s="17">
        <v>0</v>
      </c>
      <c r="AA60" s="17">
        <f>AA20*AA54</f>
        <v>4056.3825190000002</v>
      </c>
      <c r="AB60" s="17">
        <v>0</v>
      </c>
      <c r="AC60" s="128" t="e">
        <v>#DIV/0!</v>
      </c>
    </row>
    <row r="61" spans="2:29" outlineLevel="2">
      <c r="B61" s="19"/>
      <c r="C61" s="33" t="s">
        <v>109</v>
      </c>
      <c r="D61" s="32" t="s">
        <v>51</v>
      </c>
      <c r="E61" s="16" t="s">
        <v>22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N21*N55</f>
        <v>36808.007951964486</v>
      </c>
      <c r="O61" s="22">
        <f t="shared" si="4"/>
        <v>36808.007951964486</v>
      </c>
      <c r="P61" s="17">
        <f>P21*P55</f>
        <v>36815.651564845997</v>
      </c>
      <c r="Q61" s="18">
        <v>0</v>
      </c>
      <c r="R61" s="17">
        <f>R21*R55</f>
        <v>36815.651564845997</v>
      </c>
      <c r="S61" s="17">
        <f>S21*S55+0.57</f>
        <v>42206.937952</v>
      </c>
      <c r="T61" s="17">
        <f>T21*T55</f>
        <v>39869.480414736005</v>
      </c>
      <c r="U61" s="17">
        <f>U21*U55+0.57</f>
        <v>34990.165247229634</v>
      </c>
      <c r="V61" s="17">
        <f>V21*V55+0.57</f>
        <v>47061.926165999997</v>
      </c>
      <c r="W61" s="17">
        <f>W21*W55</f>
        <v>50389.686750000001</v>
      </c>
      <c r="X61" s="17">
        <v>0</v>
      </c>
      <c r="Y61" s="17">
        <f>Y21*Y55</f>
        <v>56854.009536000005</v>
      </c>
      <c r="Z61" s="17">
        <v>0</v>
      </c>
      <c r="AA61" s="17">
        <f>AA21*AA55</f>
        <v>62549.594336000002</v>
      </c>
      <c r="AB61" s="17">
        <v>0</v>
      </c>
      <c r="AC61" s="128" t="e">
        <v>#DIV/0!</v>
      </c>
    </row>
    <row r="62" spans="2:29" outlineLevel="2">
      <c r="B62" s="19"/>
      <c r="C62" s="33" t="s">
        <v>110</v>
      </c>
      <c r="D62" s="32" t="s">
        <v>1136</v>
      </c>
      <c r="E62" s="16" t="s">
        <v>22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N22*N56</f>
        <v>33241.697537799999</v>
      </c>
      <c r="O62" s="22">
        <f t="shared" si="4"/>
        <v>33241.697537799999</v>
      </c>
      <c r="P62" s="17">
        <f>P56*P22</f>
        <v>37537.07410944</v>
      </c>
      <c r="Q62" s="18">
        <v>0</v>
      </c>
      <c r="R62" s="17">
        <f>R56*R22</f>
        <v>37537.07410944</v>
      </c>
      <c r="S62" s="17">
        <f>S56*S22-0.52</f>
        <v>35488.749620000002</v>
      </c>
      <c r="T62" s="17">
        <f>T56*T22</f>
        <v>40650.817362976799</v>
      </c>
      <c r="U62" s="17">
        <f>U56*U22</f>
        <v>35674.199801855997</v>
      </c>
      <c r="V62" s="17">
        <f>V56*V22-3.81</f>
        <v>40412.191999999995</v>
      </c>
      <c r="W62" s="17">
        <f>W56*W22+3.839</f>
        <v>46685.129629999996</v>
      </c>
      <c r="X62" s="17">
        <v>0</v>
      </c>
      <c r="Y62" s="17">
        <f>Y56*Y22+0.598</f>
        <v>51348.90094</v>
      </c>
      <c r="Z62" s="17">
        <v>0</v>
      </c>
      <c r="AA62" s="17">
        <f>AA56*AA22-2.786</f>
        <v>56480.550279999996</v>
      </c>
      <c r="AB62" s="17">
        <v>0</v>
      </c>
      <c r="AC62" s="128" t="e">
        <v>#DIV/0!</v>
      </c>
    </row>
    <row r="63" spans="2:29" outlineLevel="2">
      <c r="B63" s="19"/>
      <c r="C63" s="33" t="s">
        <v>111</v>
      </c>
      <c r="D63" s="32" t="s">
        <v>55</v>
      </c>
      <c r="E63" s="16" t="s">
        <v>22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f>N23*N57</f>
        <v>3578.7991842000001</v>
      </c>
      <c r="O63" s="22">
        <f t="shared" si="4"/>
        <v>3578.7991842000001</v>
      </c>
      <c r="P63" s="17">
        <f>P23*P57</f>
        <v>3512.7241533000001</v>
      </c>
      <c r="Q63" s="18">
        <v>0</v>
      </c>
      <c r="R63" s="17">
        <f t="shared" ref="R63:W63" si="8">R23*R57</f>
        <v>3512.7241533000001</v>
      </c>
      <c r="S63" s="17">
        <f t="shared" si="8"/>
        <v>3980.2303016000005</v>
      </c>
      <c r="T63" s="17">
        <f t="shared" si="8"/>
        <v>3803.8906265400005</v>
      </c>
      <c r="U63" s="17">
        <f t="shared" si="8"/>
        <v>3337.8971598720004</v>
      </c>
      <c r="V63" s="17">
        <f t="shared" si="8"/>
        <v>4657.84</v>
      </c>
      <c r="W63" s="17">
        <f t="shared" si="8"/>
        <v>5109.6267200000002</v>
      </c>
      <c r="X63" s="17">
        <v>0</v>
      </c>
      <c r="Y63" s="17">
        <f>Y23*Y57</f>
        <v>5620.5893919999999</v>
      </c>
      <c r="Z63" s="17">
        <v>0</v>
      </c>
      <c r="AA63" s="17">
        <f>AA23*AA57</f>
        <v>6182.2260480000004</v>
      </c>
      <c r="AB63" s="17">
        <v>0</v>
      </c>
      <c r="AC63" s="128" t="e">
        <v>#DIV/0!</v>
      </c>
    </row>
    <row r="64" spans="2:29" hidden="1" outlineLevel="2">
      <c r="B64" s="19"/>
      <c r="C64" s="33" t="s">
        <v>112</v>
      </c>
      <c r="D64" s="32" t="s">
        <v>57</v>
      </c>
      <c r="E64" s="16" t="s">
        <v>22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  <c r="O64" s="22">
        <f t="shared" si="4"/>
        <v>0</v>
      </c>
      <c r="P64" s="17">
        <v>0</v>
      </c>
      <c r="Q64" s="18">
        <v>0</v>
      </c>
      <c r="R64" s="18"/>
      <c r="S64" s="18"/>
      <c r="T64" s="17">
        <v>0</v>
      </c>
      <c r="U64" s="17">
        <v>0</v>
      </c>
      <c r="V64" s="17"/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28" t="e">
        <v>#DIV/0!</v>
      </c>
    </row>
    <row r="65" spans="2:29" ht="21" hidden="1" outlineLevel="2">
      <c r="B65" s="19"/>
      <c r="C65" s="28" t="s">
        <v>113</v>
      </c>
      <c r="D65" s="29" t="s">
        <v>114</v>
      </c>
      <c r="E65" s="16" t="s">
        <v>22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  <c r="O65" s="22">
        <f t="shared" si="4"/>
        <v>0</v>
      </c>
      <c r="P65" s="17">
        <v>0</v>
      </c>
      <c r="Q65" s="18">
        <v>0</v>
      </c>
      <c r="R65" s="18"/>
      <c r="S65" s="18"/>
      <c r="T65" s="17">
        <v>0</v>
      </c>
      <c r="U65" s="17">
        <v>0</v>
      </c>
      <c r="V65" s="17"/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28" t="e">
        <v>#DIV/0!</v>
      </c>
    </row>
    <row r="66" spans="2:29" hidden="1" outlineLevel="2">
      <c r="B66" s="19"/>
      <c r="C66" s="33" t="s">
        <v>115</v>
      </c>
      <c r="D66" s="32" t="s">
        <v>49</v>
      </c>
      <c r="E66" s="16" t="s">
        <v>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/>
      <c r="O66" s="22">
        <f t="shared" si="4"/>
        <v>0</v>
      </c>
      <c r="P66" s="17">
        <v>0</v>
      </c>
      <c r="Q66" s="18">
        <v>0</v>
      </c>
      <c r="R66" s="18"/>
      <c r="S66" s="18"/>
      <c r="T66" s="17">
        <v>0</v>
      </c>
      <c r="U66" s="17">
        <v>0</v>
      </c>
      <c r="V66" s="17"/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28" t="e">
        <v>#DIV/0!</v>
      </c>
    </row>
    <row r="67" spans="2:29" hidden="1" outlineLevel="2">
      <c r="B67" s="19"/>
      <c r="C67" s="33" t="s">
        <v>116</v>
      </c>
      <c r="D67" s="32" t="s">
        <v>51</v>
      </c>
      <c r="E67" s="16" t="s">
        <v>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  <c r="O67" s="22">
        <f t="shared" si="4"/>
        <v>0</v>
      </c>
      <c r="P67" s="17">
        <v>0</v>
      </c>
      <c r="Q67" s="18">
        <v>0</v>
      </c>
      <c r="R67" s="18"/>
      <c r="S67" s="18"/>
      <c r="T67" s="17">
        <v>0</v>
      </c>
      <c r="U67" s="17">
        <v>0</v>
      </c>
      <c r="V67" s="17"/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28" t="e">
        <v>#DIV/0!</v>
      </c>
    </row>
    <row r="68" spans="2:29" hidden="1" outlineLevel="2">
      <c r="B68" s="19"/>
      <c r="C68" s="33" t="s">
        <v>117</v>
      </c>
      <c r="D68" s="32" t="s">
        <v>53</v>
      </c>
      <c r="E68" s="16" t="s">
        <v>22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22">
        <f t="shared" si="4"/>
        <v>0</v>
      </c>
      <c r="P68" s="17">
        <v>0</v>
      </c>
      <c r="Q68" s="18">
        <v>0</v>
      </c>
      <c r="R68" s="18"/>
      <c r="S68" s="18"/>
      <c r="T68" s="17">
        <v>0</v>
      </c>
      <c r="U68" s="17">
        <v>0</v>
      </c>
      <c r="V68" s="17"/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28" t="e">
        <v>#DIV/0!</v>
      </c>
    </row>
    <row r="69" spans="2:29" hidden="1" outlineLevel="2">
      <c r="B69" s="19"/>
      <c r="C69" s="33" t="s">
        <v>118</v>
      </c>
      <c r="D69" s="32" t="s">
        <v>55</v>
      </c>
      <c r="E69" s="16" t="s">
        <v>22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/>
      <c r="O69" s="22">
        <f t="shared" si="4"/>
        <v>0</v>
      </c>
      <c r="P69" s="17">
        <v>0</v>
      </c>
      <c r="Q69" s="18">
        <v>0</v>
      </c>
      <c r="R69" s="18"/>
      <c r="S69" s="18"/>
      <c r="T69" s="17">
        <v>0</v>
      </c>
      <c r="U69" s="17">
        <v>0</v>
      </c>
      <c r="V69" s="17"/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28" t="e">
        <v>#DIV/0!</v>
      </c>
    </row>
    <row r="70" spans="2:29" hidden="1" outlineLevel="2">
      <c r="B70" s="19"/>
      <c r="C70" s="33" t="s">
        <v>119</v>
      </c>
      <c r="D70" s="32" t="s">
        <v>68</v>
      </c>
      <c r="E70" s="16" t="s">
        <v>22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22">
        <f t="shared" si="4"/>
        <v>0</v>
      </c>
      <c r="P70" s="17">
        <v>0</v>
      </c>
      <c r="Q70" s="18">
        <v>0</v>
      </c>
      <c r="R70" s="18"/>
      <c r="S70" s="18"/>
      <c r="T70" s="17">
        <v>0</v>
      </c>
      <c r="U70" s="17">
        <v>0</v>
      </c>
      <c r="V70" s="17"/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28" t="e">
        <v>#DIV/0!</v>
      </c>
    </row>
    <row r="71" spans="2:29" ht="21" hidden="1" outlineLevel="2">
      <c r="B71" s="19"/>
      <c r="C71" s="28" t="s">
        <v>120</v>
      </c>
      <c r="D71" s="29" t="s">
        <v>121</v>
      </c>
      <c r="E71" s="16" t="s">
        <v>22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/>
      <c r="O71" s="22">
        <f t="shared" si="4"/>
        <v>0</v>
      </c>
      <c r="P71" s="17">
        <v>0</v>
      </c>
      <c r="Q71" s="18">
        <v>0</v>
      </c>
      <c r="R71" s="18"/>
      <c r="S71" s="18"/>
      <c r="T71" s="17">
        <v>0</v>
      </c>
      <c r="U71" s="17">
        <v>0</v>
      </c>
      <c r="V71" s="17"/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28" t="e">
        <v>#DIV/0!</v>
      </c>
    </row>
    <row r="72" spans="2:29" hidden="1" outlineLevel="2">
      <c r="B72" s="19"/>
      <c r="C72" s="33" t="s">
        <v>122</v>
      </c>
      <c r="D72" s="32" t="s">
        <v>49</v>
      </c>
      <c r="E72" s="16" t="s">
        <v>22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/>
      <c r="O72" s="22">
        <f t="shared" si="4"/>
        <v>0</v>
      </c>
      <c r="P72" s="17">
        <v>0</v>
      </c>
      <c r="Q72" s="18">
        <v>0</v>
      </c>
      <c r="R72" s="18"/>
      <c r="S72" s="18"/>
      <c r="T72" s="17">
        <v>0</v>
      </c>
      <c r="U72" s="17">
        <v>0</v>
      </c>
      <c r="V72" s="17"/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28" t="e">
        <v>#DIV/0!</v>
      </c>
    </row>
    <row r="73" spans="2:29" hidden="1" outlineLevel="2">
      <c r="B73" s="19"/>
      <c r="C73" s="33" t="s">
        <v>123</v>
      </c>
      <c r="D73" s="32" t="s">
        <v>51</v>
      </c>
      <c r="E73" s="16" t="s">
        <v>22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/>
      <c r="O73" s="22">
        <f t="shared" si="4"/>
        <v>0</v>
      </c>
      <c r="P73" s="17">
        <v>0</v>
      </c>
      <c r="Q73" s="18">
        <v>0</v>
      </c>
      <c r="R73" s="18"/>
      <c r="S73" s="18"/>
      <c r="T73" s="17">
        <v>0</v>
      </c>
      <c r="U73" s="17">
        <v>0</v>
      </c>
      <c r="V73" s="17"/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28" t="e">
        <v>#DIV/0!</v>
      </c>
    </row>
    <row r="74" spans="2:29" hidden="1" outlineLevel="2">
      <c r="B74" s="19"/>
      <c r="C74" s="33" t="s">
        <v>124</v>
      </c>
      <c r="D74" s="32" t="s">
        <v>53</v>
      </c>
      <c r="E74" s="16" t="s">
        <v>22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/>
      <c r="O74" s="22">
        <f t="shared" si="4"/>
        <v>0</v>
      </c>
      <c r="P74" s="17">
        <v>0</v>
      </c>
      <c r="Q74" s="18">
        <v>0</v>
      </c>
      <c r="R74" s="18"/>
      <c r="S74" s="18"/>
      <c r="T74" s="17">
        <v>0</v>
      </c>
      <c r="U74" s="17">
        <v>0</v>
      </c>
      <c r="V74" s="17"/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28" t="e">
        <v>#DIV/0!</v>
      </c>
    </row>
    <row r="75" spans="2:29" hidden="1" outlineLevel="2">
      <c r="B75" s="19"/>
      <c r="C75" s="33" t="s">
        <v>125</v>
      </c>
      <c r="D75" s="32" t="s">
        <v>55</v>
      </c>
      <c r="E75" s="16" t="s">
        <v>22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/>
      <c r="O75" s="22">
        <f t="shared" ref="O75:O139" si="9">N75-L75</f>
        <v>0</v>
      </c>
      <c r="P75" s="17">
        <v>0</v>
      </c>
      <c r="Q75" s="18">
        <v>0</v>
      </c>
      <c r="R75" s="18"/>
      <c r="S75" s="18"/>
      <c r="T75" s="17">
        <v>0</v>
      </c>
      <c r="U75" s="17">
        <v>0</v>
      </c>
      <c r="V75" s="17"/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28" t="e">
        <v>#DIV/0!</v>
      </c>
    </row>
    <row r="76" spans="2:29" hidden="1" outlineLevel="2">
      <c r="B76" s="19"/>
      <c r="C76" s="33" t="s">
        <v>126</v>
      </c>
      <c r="D76" s="32" t="s">
        <v>68</v>
      </c>
      <c r="E76" s="16" t="s">
        <v>22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22">
        <f t="shared" si="9"/>
        <v>0</v>
      </c>
      <c r="P76" s="17">
        <v>0</v>
      </c>
      <c r="Q76" s="18">
        <v>0</v>
      </c>
      <c r="R76" s="18"/>
      <c r="S76" s="18"/>
      <c r="T76" s="17">
        <v>0</v>
      </c>
      <c r="U76" s="17">
        <v>0</v>
      </c>
      <c r="V76" s="17"/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28" t="e">
        <v>#DIV/0!</v>
      </c>
    </row>
    <row r="77" spans="2:29" collapsed="1">
      <c r="B77" s="19"/>
      <c r="C77" s="14" t="s">
        <v>127</v>
      </c>
      <c r="D77" s="735" t="s">
        <v>128</v>
      </c>
      <c r="E77" s="16" t="s">
        <v>22</v>
      </c>
      <c r="F77" s="22">
        <v>1815.62</v>
      </c>
      <c r="G77" s="22">
        <v>2372.75</v>
      </c>
      <c r="H77" s="22">
        <v>1853.43</v>
      </c>
      <c r="I77" s="22">
        <v>1836.68</v>
      </c>
      <c r="J77" s="22">
        <v>1899.7159750000001</v>
      </c>
      <c r="K77" s="22">
        <v>2203.9954929693617</v>
      </c>
      <c r="L77" s="22">
        <v>2045.2734805746254</v>
      </c>
      <c r="M77" s="22">
        <v>2454.35</v>
      </c>
      <c r="N77" s="22">
        <v>2249.1019999999999</v>
      </c>
      <c r="O77" s="22">
        <f t="shared" si="9"/>
        <v>203.82851942537445</v>
      </c>
      <c r="P77" s="22">
        <v>2557.61</v>
      </c>
      <c r="Q77" s="23">
        <v>2430.2959915500001</v>
      </c>
      <c r="R77" s="22">
        <f>'расшифровки ВО'!M150</f>
        <v>2584.7420000000002</v>
      </c>
      <c r="S77" s="22">
        <f>'расшифровки ВО'!M150</f>
        <v>2584.7420000000002</v>
      </c>
      <c r="T77" s="22">
        <f>'расшифровки ВО'!O150</f>
        <v>2421.6099999999997</v>
      </c>
      <c r="U77" s="22">
        <f>Q77*1.02</f>
        <v>2478.901911381</v>
      </c>
      <c r="V77" s="22">
        <f>'расшифровки ВО'!O150</f>
        <v>2421.6099999999997</v>
      </c>
      <c r="W77" s="22">
        <f>'расшифровки ВО'!Q150</f>
        <v>2634.44</v>
      </c>
      <c r="X77" s="22">
        <v>2634.44</v>
      </c>
      <c r="Y77" s="22">
        <f>'расшифровки ВО'!S150</f>
        <v>2766.16</v>
      </c>
      <c r="Z77" s="22">
        <v>2534.9499999999998</v>
      </c>
      <c r="AA77" s="22">
        <f>'расшифровки ВО'!U150</f>
        <v>2904.4651999999996</v>
      </c>
      <c r="AB77" s="22">
        <v>0</v>
      </c>
      <c r="AC77" s="128">
        <v>1.531873380140707</v>
      </c>
    </row>
    <row r="78" spans="2:29">
      <c r="B78" s="19"/>
      <c r="C78" s="14" t="s">
        <v>129</v>
      </c>
      <c r="D78" s="1550" t="s">
        <v>1139</v>
      </c>
      <c r="E78" s="16" t="s">
        <v>22</v>
      </c>
      <c r="F78" s="22"/>
      <c r="G78" s="22"/>
      <c r="H78" s="22"/>
      <c r="I78" s="22"/>
      <c r="J78" s="22"/>
      <c r="K78" s="22"/>
      <c r="L78" s="22"/>
      <c r="M78" s="22"/>
      <c r="N78" s="22"/>
      <c r="O78" s="22">
        <f t="shared" si="9"/>
        <v>0</v>
      </c>
      <c r="P78" s="22"/>
      <c r="Q78" s="23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28" t="e">
        <v>#DIV/0!</v>
      </c>
    </row>
    <row r="79" spans="2:29" ht="21">
      <c r="B79" s="19"/>
      <c r="C79" s="14" t="s">
        <v>130</v>
      </c>
      <c r="D79" s="1542" t="s">
        <v>1138</v>
      </c>
      <c r="E79" s="16" t="s">
        <v>22</v>
      </c>
      <c r="F79" s="22">
        <v>554.01191738</v>
      </c>
      <c r="G79" s="22">
        <v>567.32046100000014</v>
      </c>
      <c r="H79" s="22">
        <v>525.21999999999991</v>
      </c>
      <c r="I79" s="22">
        <v>150.88999999999999</v>
      </c>
      <c r="J79" s="22">
        <v>8222.119898160001</v>
      </c>
      <c r="K79" s="22">
        <v>4491.3493280000002</v>
      </c>
      <c r="L79" s="22">
        <v>11023.379703223314</v>
      </c>
      <c r="M79" s="22">
        <v>6680.2971924999993</v>
      </c>
      <c r="N79" s="22">
        <f>4258.61+16.052</f>
        <v>4274.6619999999994</v>
      </c>
      <c r="O79" s="22">
        <f t="shared" si="9"/>
        <v>-6748.7177032233149</v>
      </c>
      <c r="P79" s="22">
        <v>4388.4206001999992</v>
      </c>
      <c r="Q79" s="23">
        <v>3390.2883887879502</v>
      </c>
      <c r="R79" s="22">
        <f>'расшифровки ВО'!M190</f>
        <v>4923.1838249999983</v>
      </c>
      <c r="S79" s="22">
        <f>'расшифровки ВО'!M190</f>
        <v>4923.1838249999983</v>
      </c>
      <c r="T79" s="22">
        <f>'расшифровки ВО'!O190</f>
        <v>5601.1636000000008</v>
      </c>
      <c r="U79" s="22">
        <f>Q79*1.02-2.64</f>
        <v>3455.4541565637096</v>
      </c>
      <c r="V79" s="22">
        <f>'расшифровки ВО'!O190</f>
        <v>5601.1636000000008</v>
      </c>
      <c r="W79" s="22">
        <f>'расшифровки ВО'!Q190</f>
        <v>6383.1016440000003</v>
      </c>
      <c r="X79" s="22">
        <v>6383.1</v>
      </c>
      <c r="Y79" s="22">
        <f>'расшифровки ВО'!S190</f>
        <v>7274.2820297600001</v>
      </c>
      <c r="Z79" s="22">
        <v>7379.45</v>
      </c>
      <c r="AA79" s="22">
        <f>'расшифровки ВО'!U190</f>
        <v>8290.3257109503993</v>
      </c>
      <c r="AB79" s="22">
        <v>0</v>
      </c>
      <c r="AC79" s="128">
        <v>0.46572208725815178</v>
      </c>
    </row>
    <row r="80" spans="2:29">
      <c r="B80" s="19"/>
      <c r="C80" s="14" t="s">
        <v>131</v>
      </c>
      <c r="D80" s="21" t="s">
        <v>522</v>
      </c>
      <c r="E80" s="16" t="s">
        <v>22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/>
      <c r="O80" s="22">
        <f t="shared" si="9"/>
        <v>0</v>
      </c>
      <c r="P80" s="17">
        <v>0</v>
      </c>
      <c r="Q80" s="18">
        <v>26.96828</v>
      </c>
      <c r="R80" s="18"/>
      <c r="S80" s="18"/>
      <c r="T80" s="17">
        <v>0</v>
      </c>
      <c r="U80" s="17">
        <v>0</v>
      </c>
      <c r="V80" s="17"/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28" t="e">
        <v>#DIV/0!</v>
      </c>
    </row>
    <row r="81" spans="2:32" ht="27" hidden="1">
      <c r="B81" s="19"/>
      <c r="C81" s="20"/>
      <c r="D81" s="692" t="s">
        <v>1320</v>
      </c>
      <c r="E81" s="16"/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9"/>
        <v>0</v>
      </c>
      <c r="P81" s="22"/>
      <c r="Q81" s="23">
        <v>26.96828</v>
      </c>
      <c r="R81" s="23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128"/>
    </row>
    <row r="82" spans="2:32" hidden="1">
      <c r="B82" s="19"/>
      <c r="C82" s="20" t="s">
        <v>134</v>
      </c>
      <c r="D82" s="37" t="s">
        <v>135</v>
      </c>
      <c r="E82" s="16" t="s">
        <v>136</v>
      </c>
      <c r="F82" s="22"/>
      <c r="G82" s="22"/>
      <c r="H82" s="22"/>
      <c r="I82" s="22"/>
      <c r="J82" s="22"/>
      <c r="K82" s="22"/>
      <c r="L82" s="22"/>
      <c r="M82" s="22"/>
      <c r="N82" s="22"/>
      <c r="O82" s="22">
        <f t="shared" si="9"/>
        <v>0</v>
      </c>
      <c r="P82" s="22"/>
      <c r="Q82" s="23">
        <v>31.505000000000003</v>
      </c>
      <c r="R82" s="23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128" t="e">
        <v>#DIV/0!</v>
      </c>
    </row>
    <row r="83" spans="2:32" hidden="1">
      <c r="B83" s="19"/>
      <c r="C83" s="20" t="s">
        <v>137</v>
      </c>
      <c r="D83" s="37" t="s">
        <v>138</v>
      </c>
      <c r="E83" s="38" t="s">
        <v>139</v>
      </c>
      <c r="F83" s="22"/>
      <c r="G83" s="22"/>
      <c r="H83" s="22"/>
      <c r="I83" s="22"/>
      <c r="J83" s="22"/>
      <c r="K83" s="22"/>
      <c r="L83" s="22"/>
      <c r="M83" s="22"/>
      <c r="N83" s="22"/>
      <c r="O83" s="22">
        <f t="shared" si="9"/>
        <v>0</v>
      </c>
      <c r="P83" s="22"/>
      <c r="Q83" s="23">
        <v>0.85599999999999998</v>
      </c>
      <c r="R83" s="23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128" t="e">
        <v>#DIV/0!</v>
      </c>
    </row>
    <row r="84" spans="2:32" hidden="1">
      <c r="B84" s="19"/>
      <c r="C84" s="20"/>
      <c r="D84" s="129" t="s">
        <v>637</v>
      </c>
      <c r="E84" s="38"/>
      <c r="F84" s="22"/>
      <c r="G84" s="22"/>
      <c r="H84" s="22"/>
      <c r="I84" s="22"/>
      <c r="J84" s="22"/>
      <c r="K84" s="22"/>
      <c r="L84" s="22"/>
      <c r="M84" s="22"/>
      <c r="N84" s="22"/>
      <c r="O84" s="22">
        <f t="shared" si="9"/>
        <v>0</v>
      </c>
      <c r="P84" s="22"/>
      <c r="Q84" s="23">
        <v>0</v>
      </c>
      <c r="R84" s="23"/>
      <c r="S84" s="23"/>
      <c r="T84" s="22"/>
      <c r="U84" s="22"/>
      <c r="V84" s="22"/>
      <c r="W84" s="22"/>
      <c r="X84" s="22"/>
      <c r="Y84" s="22"/>
      <c r="Z84" s="22"/>
      <c r="AA84" s="22"/>
      <c r="AB84" s="22"/>
      <c r="AC84" s="128"/>
    </row>
    <row r="85" spans="2:32" hidden="1">
      <c r="B85" s="19"/>
      <c r="C85" s="20" t="s">
        <v>134</v>
      </c>
      <c r="D85" s="37" t="s">
        <v>135</v>
      </c>
      <c r="E85" s="16" t="s">
        <v>136</v>
      </c>
      <c r="F85" s="22"/>
      <c r="G85" s="22"/>
      <c r="H85" s="22"/>
      <c r="I85" s="22"/>
      <c r="J85" s="22"/>
      <c r="K85" s="22"/>
      <c r="L85" s="22"/>
      <c r="M85" s="22"/>
      <c r="N85" s="22"/>
      <c r="O85" s="22">
        <f t="shared" si="9"/>
        <v>0</v>
      </c>
      <c r="P85" s="22"/>
      <c r="Q85" s="23">
        <v>0</v>
      </c>
      <c r="R85" s="23"/>
      <c r="S85" s="23"/>
      <c r="T85" s="22"/>
      <c r="U85" s="22"/>
      <c r="V85" s="22"/>
      <c r="W85" s="22"/>
      <c r="X85" s="22"/>
      <c r="Y85" s="22"/>
      <c r="Z85" s="22"/>
      <c r="AA85" s="22"/>
      <c r="AB85" s="22"/>
      <c r="AC85" s="128" t="e">
        <v>#DIV/0!</v>
      </c>
    </row>
    <row r="86" spans="2:32" hidden="1">
      <c r="B86" s="19"/>
      <c r="C86" s="20" t="s">
        <v>137</v>
      </c>
      <c r="D86" s="37" t="s">
        <v>138</v>
      </c>
      <c r="E86" s="38" t="s">
        <v>139</v>
      </c>
      <c r="F86" s="22"/>
      <c r="G86" s="22"/>
      <c r="H86" s="22"/>
      <c r="I86" s="22"/>
      <c r="J86" s="22"/>
      <c r="K86" s="22"/>
      <c r="L86" s="22"/>
      <c r="M86" s="22"/>
      <c r="N86" s="22"/>
      <c r="O86" s="22">
        <f t="shared" si="9"/>
        <v>0</v>
      </c>
      <c r="P86" s="22"/>
      <c r="Q86" s="23">
        <v>0</v>
      </c>
      <c r="R86" s="23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128" t="e">
        <v>#DIV/0!</v>
      </c>
    </row>
    <row r="87" spans="2:32" ht="21" hidden="1">
      <c r="B87" s="19"/>
      <c r="C87" s="20"/>
      <c r="D87" s="129" t="s">
        <v>638</v>
      </c>
      <c r="E87" s="38"/>
      <c r="F87" s="22"/>
      <c r="G87" s="22"/>
      <c r="H87" s="22"/>
      <c r="I87" s="22"/>
      <c r="J87" s="22"/>
      <c r="K87" s="22"/>
      <c r="L87" s="22"/>
      <c r="M87" s="22"/>
      <c r="N87" s="22"/>
      <c r="O87" s="22">
        <f t="shared" si="9"/>
        <v>0</v>
      </c>
      <c r="P87" s="22"/>
      <c r="Q87" s="23">
        <v>0</v>
      </c>
      <c r="R87" s="23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128"/>
    </row>
    <row r="88" spans="2:32" hidden="1">
      <c r="B88" s="19"/>
      <c r="C88" s="20" t="s">
        <v>134</v>
      </c>
      <c r="D88" s="37" t="s">
        <v>135</v>
      </c>
      <c r="E88" s="16" t="s">
        <v>136</v>
      </c>
      <c r="F88" s="22"/>
      <c r="G88" s="22"/>
      <c r="H88" s="22"/>
      <c r="I88" s="22"/>
      <c r="J88" s="22"/>
      <c r="K88" s="22"/>
      <c r="L88" s="22"/>
      <c r="M88" s="22"/>
      <c r="N88" s="22"/>
      <c r="O88" s="22">
        <f t="shared" si="9"/>
        <v>0</v>
      </c>
      <c r="P88" s="22"/>
      <c r="Q88" s="23">
        <v>0</v>
      </c>
      <c r="R88" s="23"/>
      <c r="S88" s="23"/>
      <c r="T88" s="22"/>
      <c r="U88" s="22"/>
      <c r="V88" s="22"/>
      <c r="W88" s="22"/>
      <c r="X88" s="22"/>
      <c r="Y88" s="22"/>
      <c r="Z88" s="22"/>
      <c r="AA88" s="22"/>
      <c r="AB88" s="22"/>
      <c r="AC88" s="128" t="e">
        <v>#DIV/0!</v>
      </c>
    </row>
    <row r="89" spans="2:32" hidden="1">
      <c r="B89" s="19"/>
      <c r="C89" s="20" t="s">
        <v>137</v>
      </c>
      <c r="D89" s="37" t="s">
        <v>138</v>
      </c>
      <c r="E89" s="38" t="s">
        <v>139</v>
      </c>
      <c r="F89" s="22"/>
      <c r="G89" s="22"/>
      <c r="H89" s="22"/>
      <c r="I89" s="22"/>
      <c r="J89" s="22"/>
      <c r="K89" s="22"/>
      <c r="L89" s="22"/>
      <c r="M89" s="22"/>
      <c r="N89" s="22"/>
      <c r="O89" s="22">
        <f t="shared" si="9"/>
        <v>0</v>
      </c>
      <c r="P89" s="22"/>
      <c r="Q89" s="23">
        <v>0</v>
      </c>
      <c r="R89" s="23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128" t="e">
        <v>#DIV/0!</v>
      </c>
    </row>
    <row r="90" spans="2:32" ht="63">
      <c r="B90" s="13" t="s">
        <v>23</v>
      </c>
      <c r="C90" s="14" t="s">
        <v>143</v>
      </c>
      <c r="D90" s="693" t="s">
        <v>1319</v>
      </c>
      <c r="E90" s="16" t="s">
        <v>22</v>
      </c>
      <c r="F90" s="22">
        <v>50000</v>
      </c>
      <c r="G90" s="22">
        <v>10708.74</v>
      </c>
      <c r="H90" s="22">
        <v>107552.64</v>
      </c>
      <c r="I90" s="22">
        <v>149868.37</v>
      </c>
      <c r="J90" s="22">
        <v>110736.19814399999</v>
      </c>
      <c r="K90" s="22">
        <v>2111.8592760000001</v>
      </c>
      <c r="L90" s="22">
        <v>113685.1</v>
      </c>
      <c r="M90" s="22">
        <v>3023.1440801250501</v>
      </c>
      <c r="N90" s="22">
        <v>0</v>
      </c>
      <c r="O90" s="22">
        <f t="shared" si="9"/>
        <v>-113685.1</v>
      </c>
      <c r="P90" s="22">
        <v>974.06059309005218</v>
      </c>
      <c r="Q90" s="23"/>
      <c r="R90" s="23"/>
      <c r="S90" s="23"/>
      <c r="T90" s="22">
        <v>1013.0230168136542</v>
      </c>
      <c r="U90" s="22">
        <v>0</v>
      </c>
      <c r="V90" s="22"/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128">
        <v>1.0023416637581132E-2</v>
      </c>
      <c r="AD90" s="1638" t="s">
        <v>523</v>
      </c>
      <c r="AE90" s="1593"/>
      <c r="AF90" s="1593"/>
    </row>
    <row r="91" spans="2:32" ht="52.5">
      <c r="B91" s="13" t="s">
        <v>23</v>
      </c>
      <c r="C91" s="14" t="s">
        <v>144</v>
      </c>
      <c r="D91" s="15" t="s">
        <v>145</v>
      </c>
      <c r="E91" s="16" t="s">
        <v>22</v>
      </c>
      <c r="F91" s="17">
        <v>158289.90484</v>
      </c>
      <c r="G91" s="17">
        <v>161058.54407999999</v>
      </c>
      <c r="H91" s="17">
        <v>149281.81821151197</v>
      </c>
      <c r="I91" s="17">
        <v>178637.79887100001</v>
      </c>
      <c r="J91" s="17">
        <v>153700.56003057281</v>
      </c>
      <c r="K91" s="17">
        <v>137789.22811247999</v>
      </c>
      <c r="L91" s="17">
        <v>157793.5929241869</v>
      </c>
      <c r="M91" s="17">
        <v>181598.03202895203</v>
      </c>
      <c r="N91" s="17">
        <f>N92+N103</f>
        <v>201903.51699999999</v>
      </c>
      <c r="O91" s="22">
        <f t="shared" si="9"/>
        <v>44109.924075813091</v>
      </c>
      <c r="P91" s="17">
        <v>188861.95331011008</v>
      </c>
      <c r="Q91" s="18">
        <v>182439.94911000165</v>
      </c>
      <c r="R91" s="17">
        <f t="shared" ref="R91:Y91" si="10">R92+R103</f>
        <v>212665.42499999999</v>
      </c>
      <c r="S91" s="17">
        <f t="shared" si="10"/>
        <v>210193.28</v>
      </c>
      <c r="T91" s="17">
        <f t="shared" si="10"/>
        <v>222331.73340000003</v>
      </c>
      <c r="U91" s="17">
        <f t="shared" si="10"/>
        <v>186763.77590390868</v>
      </c>
      <c r="V91" s="17">
        <f t="shared" si="10"/>
        <v>224578.14430799999</v>
      </c>
      <c r="W91" s="17">
        <f t="shared" si="10"/>
        <v>233442.35821199999</v>
      </c>
      <c r="X91" s="17">
        <f t="shared" si="10"/>
        <v>191181.67302291564</v>
      </c>
      <c r="Y91" s="17">
        <f t="shared" si="10"/>
        <v>238111.20537623999</v>
      </c>
      <c r="Z91" s="17">
        <f>Z92+Z103</f>
        <v>202373.06824701617</v>
      </c>
      <c r="AA91" s="17">
        <f>AA92+AA103</f>
        <v>242873.4294837648</v>
      </c>
      <c r="AB91" s="17">
        <v>0</v>
      </c>
      <c r="AC91" s="128">
        <v>1.4001948282165408</v>
      </c>
    </row>
    <row r="92" spans="2:32" ht="21">
      <c r="B92" s="19"/>
      <c r="C92" s="14" t="s">
        <v>146</v>
      </c>
      <c r="D92" s="21" t="s">
        <v>147</v>
      </c>
      <c r="E92" s="16" t="s">
        <v>22</v>
      </c>
      <c r="F92" s="22">
        <v>121574.42</v>
      </c>
      <c r="G92" s="22">
        <v>123653.37408000001</v>
      </c>
      <c r="H92" s="22">
        <v>114655.77435599998</v>
      </c>
      <c r="I92" s="22">
        <v>137202.61050000001</v>
      </c>
      <c r="J92" s="22">
        <v>118049.58527693764</v>
      </c>
      <c r="K92" s="22">
        <v>105828.90023999999</v>
      </c>
      <c r="L92" s="22">
        <v>121193.23573286245</v>
      </c>
      <c r="M92" s="22">
        <v>139476.21507600002</v>
      </c>
      <c r="N92" s="22">
        <v>155150.807</v>
      </c>
      <c r="O92" s="22">
        <f t="shared" si="9"/>
        <v>33957.571267137551</v>
      </c>
      <c r="P92" s="22">
        <v>145055.26367904001</v>
      </c>
      <c r="Q92" s="23">
        <v>140015.31013814401</v>
      </c>
      <c r="R92" s="22">
        <v>163337.5</v>
      </c>
      <c r="S92" s="22">
        <f>112545.732+48627.618</f>
        <v>161173.35</v>
      </c>
      <c r="T92" s="22">
        <v>170761.7</v>
      </c>
      <c r="U92" s="22">
        <f>U93*U94*12/1000</f>
        <v>143333.67298841802</v>
      </c>
      <c r="V92" s="22">
        <v>172487.054</v>
      </c>
      <c r="W92" s="22">
        <v>179295.20600000001</v>
      </c>
      <c r="X92" s="22">
        <f>U92*X1</f>
        <v>146724.23102295905</v>
      </c>
      <c r="Y92" s="22">
        <f>Y94*Y93*12/1000</f>
        <v>182881.11012</v>
      </c>
      <c r="Z92" s="22">
        <f>X92*Z1</f>
        <v>155313.17593784817</v>
      </c>
      <c r="AA92" s="22">
        <f>AA94*AA93*12/1000</f>
        <v>186538.7323224</v>
      </c>
      <c r="AB92" s="22">
        <v>0</v>
      </c>
      <c r="AC92" s="128">
        <v>1.4001948282165406</v>
      </c>
    </row>
    <row r="93" spans="2:32" ht="31.5">
      <c r="B93" s="19"/>
      <c r="C93" s="33" t="s">
        <v>148</v>
      </c>
      <c r="D93" s="39" t="s">
        <v>149</v>
      </c>
      <c r="E93" s="16" t="s">
        <v>31</v>
      </c>
      <c r="F93" s="22">
        <v>435</v>
      </c>
      <c r="G93" s="22">
        <v>423</v>
      </c>
      <c r="H93" s="22">
        <v>370.42</v>
      </c>
      <c r="I93" s="22">
        <v>410</v>
      </c>
      <c r="J93" s="22">
        <v>370.42</v>
      </c>
      <c r="K93" s="22">
        <v>321</v>
      </c>
      <c r="L93" s="22">
        <v>370.42</v>
      </c>
      <c r="M93" s="22">
        <v>405</v>
      </c>
      <c r="N93" s="22">
        <v>457</v>
      </c>
      <c r="O93" s="22">
        <f t="shared" si="9"/>
        <v>86.579999999999984</v>
      </c>
      <c r="P93" s="22">
        <v>405</v>
      </c>
      <c r="Q93" s="23">
        <v>404.7</v>
      </c>
      <c r="R93" s="22">
        <v>460</v>
      </c>
      <c r="S93" s="22">
        <v>456</v>
      </c>
      <c r="T93" s="22">
        <v>461</v>
      </c>
      <c r="U93" s="22">
        <f>Q93</f>
        <v>404.7</v>
      </c>
      <c r="V93" s="22">
        <v>467</v>
      </c>
      <c r="W93" s="22">
        <v>468</v>
      </c>
      <c r="X93" s="22">
        <v>404.7</v>
      </c>
      <c r="Y93" s="22">
        <v>468</v>
      </c>
      <c r="Z93" s="22">
        <f>X93</f>
        <v>404.7</v>
      </c>
      <c r="AA93" s="22">
        <v>468</v>
      </c>
      <c r="AB93" s="22">
        <v>0</v>
      </c>
      <c r="AC93" s="128">
        <v>1.0933534906322553</v>
      </c>
    </row>
    <row r="94" spans="2:32" ht="31.5">
      <c r="B94" s="19"/>
      <c r="C94" s="33" t="s">
        <v>150</v>
      </c>
      <c r="D94" s="29" t="s">
        <v>151</v>
      </c>
      <c r="E94" s="16" t="s">
        <v>152</v>
      </c>
      <c r="F94" s="17">
        <v>23290.11877394636</v>
      </c>
      <c r="G94" s="17">
        <v>24360.396784869979</v>
      </c>
      <c r="H94" s="17">
        <v>25794.092821661892</v>
      </c>
      <c r="I94" s="17">
        <v>27886.709451219514</v>
      </c>
      <c r="J94" s="17">
        <v>26557.597969183098</v>
      </c>
      <c r="K94" s="17">
        <v>27473.753956386292</v>
      </c>
      <c r="L94" s="17">
        <v>27264.824553403891</v>
      </c>
      <c r="M94" s="17">
        <v>28698.809686419758</v>
      </c>
      <c r="N94" s="17">
        <f>N92/12/N93*1000</f>
        <v>28291.540299051787</v>
      </c>
      <c r="O94" s="22">
        <f t="shared" si="9"/>
        <v>1026.7157456478963</v>
      </c>
      <c r="P94" s="17">
        <v>29846.762073876551</v>
      </c>
      <c r="Q94" s="18">
        <v>28831.090960000001</v>
      </c>
      <c r="R94" s="17">
        <f>R92/12/R93*1000</f>
        <v>29590.126811594204</v>
      </c>
      <c r="S94" s="17">
        <f>S92/12/S93*1000</f>
        <v>29454.19407894737</v>
      </c>
      <c r="T94" s="17">
        <f>T92/12/T93*1000</f>
        <v>30867.986261749822</v>
      </c>
      <c r="U94" s="17">
        <f>Q94*U2</f>
        <v>29514.387815752001</v>
      </c>
      <c r="V94" s="17">
        <f>V92/V93/12*1000</f>
        <v>30779.274446823696</v>
      </c>
      <c r="W94" s="17">
        <f>W92/W93/12*1000</f>
        <v>31925.784544159545</v>
      </c>
      <c r="X94" s="17">
        <f>X92/X93/12*1000</f>
        <v>30212.550659533616</v>
      </c>
      <c r="Y94" s="17">
        <f>W94*1.02</f>
        <v>32564.300235042738</v>
      </c>
      <c r="Z94" s="17">
        <f>Z92/Z93/12*1000</f>
        <v>31981.133337008519</v>
      </c>
      <c r="AA94" s="17">
        <f>Y94*1.02</f>
        <v>33215.586239743592</v>
      </c>
      <c r="AB94" s="17">
        <v>0</v>
      </c>
      <c r="AC94" s="128">
        <v>1.2806423907851139</v>
      </c>
    </row>
    <row r="95" spans="2:32" ht="52.5">
      <c r="B95" s="19"/>
      <c r="C95" s="33" t="s">
        <v>153</v>
      </c>
      <c r="D95" s="29" t="s">
        <v>154</v>
      </c>
      <c r="E95" s="16" t="s">
        <v>31</v>
      </c>
      <c r="F95" s="22">
        <v>435</v>
      </c>
      <c r="G95" s="22">
        <v>423</v>
      </c>
      <c r="H95" s="22">
        <v>370.42</v>
      </c>
      <c r="I95" s="22">
        <v>410</v>
      </c>
      <c r="J95" s="22">
        <v>370.42</v>
      </c>
      <c r="K95" s="22">
        <v>321</v>
      </c>
      <c r="L95" s="22">
        <v>370.42</v>
      </c>
      <c r="M95" s="22">
        <v>405</v>
      </c>
      <c r="N95" s="22">
        <v>457</v>
      </c>
      <c r="O95" s="22">
        <f t="shared" si="9"/>
        <v>86.579999999999984</v>
      </c>
      <c r="P95" s="22">
        <v>405</v>
      </c>
      <c r="Q95" s="23">
        <v>370</v>
      </c>
      <c r="R95" s="23">
        <v>460</v>
      </c>
      <c r="S95" s="23">
        <v>456</v>
      </c>
      <c r="T95" s="22">
        <v>461</v>
      </c>
      <c r="U95" s="22">
        <v>0</v>
      </c>
      <c r="V95" s="22">
        <v>467</v>
      </c>
      <c r="W95" s="22">
        <v>468</v>
      </c>
      <c r="X95" s="22">
        <v>404.7</v>
      </c>
      <c r="Y95" s="22">
        <v>468</v>
      </c>
      <c r="Z95" s="22">
        <v>0</v>
      </c>
      <c r="AA95" s="22">
        <v>468</v>
      </c>
      <c r="AB95" s="22">
        <v>0</v>
      </c>
      <c r="AC95" s="128">
        <v>1.0933534906322553</v>
      </c>
    </row>
    <row r="96" spans="2:32" ht="52.5" hidden="1">
      <c r="B96" s="19"/>
      <c r="C96" s="33" t="s">
        <v>155</v>
      </c>
      <c r="D96" s="29" t="s">
        <v>156</v>
      </c>
      <c r="E96" s="16" t="s">
        <v>31</v>
      </c>
      <c r="F96" s="22"/>
      <c r="G96" s="22"/>
      <c r="H96" s="22"/>
      <c r="I96" s="22"/>
      <c r="J96" s="22"/>
      <c r="K96" s="22"/>
      <c r="L96" s="22"/>
      <c r="M96" s="22"/>
      <c r="N96" s="22"/>
      <c r="O96" s="22">
        <f t="shared" si="9"/>
        <v>0</v>
      </c>
      <c r="P96" s="22"/>
      <c r="Q96" s="23"/>
      <c r="R96" s="23"/>
      <c r="S96" s="23"/>
      <c r="T96" s="22"/>
      <c r="U96" s="22"/>
      <c r="V96" s="22"/>
      <c r="W96" s="22"/>
      <c r="X96" s="22"/>
      <c r="Y96" s="22"/>
      <c r="Z96" s="22"/>
      <c r="AA96" s="22"/>
      <c r="AB96" s="22"/>
      <c r="AC96" s="128" t="e">
        <v>#DIV/0!</v>
      </c>
    </row>
    <row r="97" spans="2:29" ht="21" hidden="1">
      <c r="B97" s="19"/>
      <c r="C97" s="33" t="s">
        <v>157</v>
      </c>
      <c r="D97" s="29" t="s">
        <v>158</v>
      </c>
      <c r="E97" s="16" t="s">
        <v>152</v>
      </c>
      <c r="F97" s="22"/>
      <c r="G97" s="22"/>
      <c r="H97" s="22"/>
      <c r="I97" s="22"/>
      <c r="J97" s="22"/>
      <c r="K97" s="22"/>
      <c r="L97" s="22"/>
      <c r="M97" s="22"/>
      <c r="N97" s="22"/>
      <c r="O97" s="22">
        <f t="shared" si="9"/>
        <v>0</v>
      </c>
      <c r="P97" s="22"/>
      <c r="Q97" s="23"/>
      <c r="R97" s="23"/>
      <c r="S97" s="23"/>
      <c r="T97" s="22"/>
      <c r="U97" s="22"/>
      <c r="V97" s="22"/>
      <c r="W97" s="22"/>
      <c r="X97" s="22"/>
      <c r="Y97" s="22"/>
      <c r="Z97" s="22"/>
      <c r="AA97" s="22"/>
      <c r="AB97" s="22">
        <v>6216</v>
      </c>
      <c r="AC97" s="128" t="e">
        <v>#DIV/0!</v>
      </c>
    </row>
    <row r="98" spans="2:29" ht="21" hidden="1">
      <c r="B98" s="19"/>
      <c r="C98" s="33" t="s">
        <v>159</v>
      </c>
      <c r="D98" s="29" t="s">
        <v>160</v>
      </c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>
        <f t="shared" si="9"/>
        <v>0</v>
      </c>
      <c r="P98" s="22"/>
      <c r="Q98" s="23"/>
      <c r="R98" s="23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128" t="e">
        <v>#DIV/0!</v>
      </c>
    </row>
    <row r="99" spans="2:29" ht="21" hidden="1">
      <c r="B99" s="19"/>
      <c r="C99" s="33" t="s">
        <v>161</v>
      </c>
      <c r="D99" s="29" t="s">
        <v>162</v>
      </c>
      <c r="E99" s="16" t="s">
        <v>152</v>
      </c>
      <c r="F99" s="22">
        <v>7479</v>
      </c>
      <c r="G99" s="22">
        <v>7479</v>
      </c>
      <c r="H99" s="22">
        <v>7893</v>
      </c>
      <c r="I99" s="22">
        <v>7893</v>
      </c>
      <c r="J99" s="22">
        <v>8288</v>
      </c>
      <c r="K99" s="22">
        <v>8288</v>
      </c>
      <c r="L99" s="22">
        <v>8702</v>
      </c>
      <c r="M99" s="22">
        <v>8702</v>
      </c>
      <c r="N99" s="22">
        <v>8705</v>
      </c>
      <c r="O99" s="22">
        <f t="shared" si="9"/>
        <v>3</v>
      </c>
      <c r="P99" s="22">
        <v>9050.08</v>
      </c>
      <c r="Q99" s="23"/>
      <c r="R99" s="23"/>
      <c r="S99" s="22">
        <v>9460</v>
      </c>
      <c r="T99" s="22">
        <v>9460</v>
      </c>
      <c r="U99" s="22"/>
      <c r="V99" s="22">
        <v>9460</v>
      </c>
      <c r="W99" s="22">
        <v>9460</v>
      </c>
      <c r="X99" s="22"/>
      <c r="Y99" s="22">
        <f>W99*1.04</f>
        <v>9838.4</v>
      </c>
      <c r="Z99" s="22"/>
      <c r="AA99" s="22">
        <f>Y99*1.04</f>
        <v>10231.936</v>
      </c>
      <c r="AB99" s="22"/>
      <c r="AC99" s="128">
        <v>1.1745379942400003</v>
      </c>
    </row>
    <row r="100" spans="2:29" ht="21" hidden="1">
      <c r="B100" s="19"/>
      <c r="C100" s="33" t="s">
        <v>163</v>
      </c>
      <c r="D100" s="29" t="s">
        <v>164</v>
      </c>
      <c r="E100" s="16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f t="shared" si="9"/>
        <v>0</v>
      </c>
      <c r="P100" s="22"/>
      <c r="Q100" s="23"/>
      <c r="R100" s="23"/>
      <c r="S100" s="23"/>
      <c r="T100" s="22"/>
      <c r="U100" s="22"/>
      <c r="V100" s="22"/>
      <c r="W100" s="22"/>
      <c r="X100" s="22"/>
      <c r="Y100" s="22"/>
      <c r="Z100" s="22"/>
      <c r="AA100" s="22"/>
      <c r="AB100" s="22"/>
      <c r="AC100" s="128" t="e">
        <v>#DIV/0!</v>
      </c>
    </row>
    <row r="101" spans="2:29" ht="21" hidden="1">
      <c r="B101" s="19"/>
      <c r="C101" s="33" t="s">
        <v>165</v>
      </c>
      <c r="D101" s="29" t="s">
        <v>166</v>
      </c>
      <c r="E101" s="16" t="s">
        <v>152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>
        <f t="shared" si="9"/>
        <v>0</v>
      </c>
      <c r="P101" s="22"/>
      <c r="Q101" s="23"/>
      <c r="R101" s="23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128" t="e">
        <v>#DIV/0!</v>
      </c>
    </row>
    <row r="102" spans="2:29" ht="31.5" hidden="1">
      <c r="B102" s="19"/>
      <c r="C102" s="33" t="s">
        <v>167</v>
      </c>
      <c r="D102" s="29" t="s">
        <v>168</v>
      </c>
      <c r="E102" s="16" t="s">
        <v>152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f t="shared" si="9"/>
        <v>0</v>
      </c>
      <c r="P102" s="22"/>
      <c r="Q102" s="23"/>
      <c r="R102" s="23"/>
      <c r="S102" s="23"/>
      <c r="T102" s="22"/>
      <c r="U102" s="22"/>
      <c r="V102" s="22"/>
      <c r="W102" s="22"/>
      <c r="X102" s="22"/>
      <c r="Y102" s="22"/>
      <c r="Z102" s="22"/>
      <c r="AA102" s="22"/>
      <c r="AB102" s="22">
        <v>8705</v>
      </c>
      <c r="AC102" s="128" t="e">
        <v>#DIV/0!</v>
      </c>
    </row>
    <row r="103" spans="2:29" ht="42">
      <c r="B103" s="19"/>
      <c r="C103" s="14" t="s">
        <v>169</v>
      </c>
      <c r="D103" s="40" t="s">
        <v>170</v>
      </c>
      <c r="E103" s="16" t="s">
        <v>22</v>
      </c>
      <c r="F103" s="22">
        <v>36715.484839999997</v>
      </c>
      <c r="G103" s="22">
        <v>37405.15</v>
      </c>
      <c r="H103" s="22">
        <v>34626.043855511991</v>
      </c>
      <c r="I103" s="22">
        <v>41435.188371000004</v>
      </c>
      <c r="J103" s="22">
        <v>35650.974753635164</v>
      </c>
      <c r="K103" s="22">
        <v>31960.327872479997</v>
      </c>
      <c r="L103" s="22">
        <v>36600.35719132446</v>
      </c>
      <c r="M103" s="22">
        <v>42121.816952952002</v>
      </c>
      <c r="N103" s="22">
        <v>46752.71</v>
      </c>
      <c r="O103" s="22">
        <f t="shared" si="9"/>
        <v>10152.35280867554</v>
      </c>
      <c r="P103" s="22">
        <v>43806.689631070083</v>
      </c>
      <c r="Q103" s="23">
        <v>42424.638971857639</v>
      </c>
      <c r="R103" s="22">
        <f>R92*0.302</f>
        <v>49327.924999999996</v>
      </c>
      <c r="S103" s="22">
        <f>34828.45+14191.48</f>
        <v>49019.929999999993</v>
      </c>
      <c r="T103" s="22">
        <f>T92*0.302</f>
        <v>51570.0334</v>
      </c>
      <c r="U103" s="22">
        <f>Q103*U2</f>
        <v>43430.102915490665</v>
      </c>
      <c r="V103" s="22">
        <f>V92*0.302</f>
        <v>52091.090307999999</v>
      </c>
      <c r="W103" s="22">
        <f>W92*0.302</f>
        <v>54147.152212000001</v>
      </c>
      <c r="X103" s="22">
        <f>U103*X1</f>
        <v>44457.441999956594</v>
      </c>
      <c r="Y103" s="22">
        <f>Y92*0.302</f>
        <v>55230.095256239998</v>
      </c>
      <c r="Z103" s="22">
        <f>X103*Z1</f>
        <v>47059.892309167997</v>
      </c>
      <c r="AA103" s="22">
        <f>AA92*0.302</f>
        <v>56334.697161364798</v>
      </c>
      <c r="AB103" s="22">
        <v>0</v>
      </c>
      <c r="AC103" s="128">
        <v>1.4001948282165406</v>
      </c>
    </row>
    <row r="104" spans="2:29" s="57" customFormat="1" ht="52.5">
      <c r="B104" s="130" t="s">
        <v>171</v>
      </c>
      <c r="C104" s="53" t="s">
        <v>172</v>
      </c>
      <c r="D104" s="761" t="s">
        <v>173</v>
      </c>
      <c r="E104" s="55" t="s">
        <v>22</v>
      </c>
      <c r="F104" s="56">
        <v>10180.369999999999</v>
      </c>
      <c r="G104" s="56">
        <v>16339.96</v>
      </c>
      <c r="H104" s="56">
        <v>17046.23</v>
      </c>
      <c r="I104" s="56">
        <v>28927.050000000003</v>
      </c>
      <c r="J104" s="56">
        <v>26541.000000000004</v>
      </c>
      <c r="K104" s="56">
        <v>22800.356253177393</v>
      </c>
      <c r="L104" s="56">
        <v>22148.13</v>
      </c>
      <c r="M104" s="56">
        <v>21405.287688814504</v>
      </c>
      <c r="N104" s="56">
        <v>18954.34</v>
      </c>
      <c r="O104" s="22">
        <f t="shared" si="9"/>
        <v>-3193.7900000000009</v>
      </c>
      <c r="P104" s="56">
        <v>16977.951088274251</v>
      </c>
      <c r="Q104" s="56">
        <v>5135.5869296296123</v>
      </c>
      <c r="R104" s="22">
        <f>проценты!E100</f>
        <v>17335.180181292017</v>
      </c>
      <c r="S104" s="22">
        <f>проценты!F100</f>
        <v>20020.366000000002</v>
      </c>
      <c r="T104" s="22">
        <f>проценты!I100</f>
        <v>16725.249253676175</v>
      </c>
      <c r="U104" s="56">
        <v>3442.12</v>
      </c>
      <c r="V104" s="22">
        <f>проценты!J100</f>
        <v>18211.068864235167</v>
      </c>
      <c r="W104" s="22">
        <f>проценты!N100</f>
        <v>15503.561772194764</v>
      </c>
      <c r="X104" s="56">
        <v>3442.12</v>
      </c>
      <c r="Y104" s="22">
        <f>проценты!R100</f>
        <v>12552.520006992894</v>
      </c>
      <c r="Z104" s="56">
        <v>3530</v>
      </c>
      <c r="AA104" s="22">
        <f>проценты!V100</f>
        <v>6951.6860024556781</v>
      </c>
      <c r="AB104" s="56">
        <v>6.6078297329007218E-4</v>
      </c>
      <c r="AC104" s="131">
        <v>4.3710207672465883E-2</v>
      </c>
    </row>
    <row r="105" spans="2:29">
      <c r="B105" s="13" t="s">
        <v>23</v>
      </c>
      <c r="C105" s="14" t="s">
        <v>174</v>
      </c>
      <c r="D105" s="15" t="s">
        <v>175</v>
      </c>
      <c r="E105" s="16" t="s">
        <v>22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>
        <f t="shared" si="9"/>
        <v>0</v>
      </c>
      <c r="P105" s="22"/>
      <c r="Q105" s="23"/>
      <c r="R105" s="23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  <c r="AC105" s="128" t="e">
        <v>#DIV/0!</v>
      </c>
    </row>
    <row r="106" spans="2:29" ht="21">
      <c r="B106" s="13" t="s">
        <v>23</v>
      </c>
      <c r="C106" s="14" t="s">
        <v>176</v>
      </c>
      <c r="D106" s="15" t="s">
        <v>177</v>
      </c>
      <c r="E106" s="16" t="s">
        <v>22</v>
      </c>
      <c r="F106" s="17">
        <v>4105</v>
      </c>
      <c r="G106" s="17">
        <v>6270.8</v>
      </c>
      <c r="H106" s="17">
        <v>3158.7799999999997</v>
      </c>
      <c r="I106" s="17">
        <v>4383.2800000000007</v>
      </c>
      <c r="J106" s="17">
        <v>113988.479888</v>
      </c>
      <c r="K106" s="17">
        <v>12268.620999999999</v>
      </c>
      <c r="L106" s="17">
        <v>3338.8948491375522</v>
      </c>
      <c r="M106" s="17">
        <v>12595.322108609002</v>
      </c>
      <c r="N106" s="17">
        <f>SUM(N107:N114)</f>
        <v>27819.02</v>
      </c>
      <c r="O106" s="22">
        <f t="shared" si="9"/>
        <v>24480.125150862448</v>
      </c>
      <c r="P106" s="17">
        <f>SUM(P107:P114)</f>
        <v>13099.134992953361</v>
      </c>
      <c r="Q106" s="18">
        <v>13090.865868280622</v>
      </c>
      <c r="R106" s="17">
        <f>SUM(R107:R114)</f>
        <v>30324.940599999998</v>
      </c>
      <c r="S106" s="17">
        <f>SUM(S107:S114)</f>
        <v>32671.78</v>
      </c>
      <c r="T106" s="17">
        <f t="shared" ref="T106:AB106" si="11">SUM(T107:T114)</f>
        <v>31537.938223999998</v>
      </c>
      <c r="U106" s="17">
        <f t="shared" si="11"/>
        <v>13401.119389358872</v>
      </c>
      <c r="V106" s="17">
        <f t="shared" si="11"/>
        <v>33978.6512</v>
      </c>
      <c r="W106" s="17">
        <f t="shared" si="11"/>
        <v>35337.797248000003</v>
      </c>
      <c r="X106" s="17">
        <f t="shared" si="11"/>
        <v>13718.122868514158</v>
      </c>
      <c r="Y106" s="17">
        <f t="shared" si="11"/>
        <v>36751.309137920012</v>
      </c>
      <c r="Z106" s="17">
        <f t="shared" si="11"/>
        <v>14521.154520695125</v>
      </c>
      <c r="AA106" s="17">
        <f t="shared" si="11"/>
        <v>38221.361503436812</v>
      </c>
      <c r="AB106" s="17">
        <f t="shared" si="11"/>
        <v>0</v>
      </c>
      <c r="AC106" s="128">
        <v>4.5895830484330187</v>
      </c>
    </row>
    <row r="107" spans="2:29" ht="21">
      <c r="B107" s="19"/>
      <c r="C107" s="20" t="s">
        <v>178</v>
      </c>
      <c r="D107" s="48" t="s">
        <v>179</v>
      </c>
      <c r="E107" s="16" t="s">
        <v>22</v>
      </c>
      <c r="F107" s="22">
        <v>3104</v>
      </c>
      <c r="G107" s="22">
        <v>5200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/>
      <c r="O107" s="22">
        <f t="shared" si="9"/>
        <v>0</v>
      </c>
      <c r="P107" s="22">
        <v>0</v>
      </c>
      <c r="Q107" s="23">
        <v>0</v>
      </c>
      <c r="R107" s="23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128" t="e">
        <v>#DIV/0!</v>
      </c>
    </row>
    <row r="108" spans="2:29">
      <c r="B108" s="19"/>
      <c r="C108" s="33" t="s">
        <v>615</v>
      </c>
      <c r="D108" s="132" t="s">
        <v>524</v>
      </c>
      <c r="E108" s="16" t="s">
        <v>22</v>
      </c>
      <c r="F108" s="22">
        <v>1001</v>
      </c>
      <c r="G108" s="22">
        <v>1070.8</v>
      </c>
      <c r="H108" s="22">
        <v>1505.21</v>
      </c>
      <c r="I108" s="22">
        <v>1646.44</v>
      </c>
      <c r="J108" s="22">
        <v>1549.774216</v>
      </c>
      <c r="K108" s="22">
        <v>1379.2500000000002</v>
      </c>
      <c r="L108" s="22">
        <v>1591.0431535978641</v>
      </c>
      <c r="M108" s="22">
        <v>1415.9780482500003</v>
      </c>
      <c r="N108" s="22">
        <f>1361.86+124.978+4.904+736.51+62.174</f>
        <v>2290.4259999999999</v>
      </c>
      <c r="O108" s="22">
        <f t="shared" si="9"/>
        <v>699.38284640213578</v>
      </c>
      <c r="P108" s="22">
        <v>1472.6171701800004</v>
      </c>
      <c r="Q108" s="23">
        <v>1472.6171701800004</v>
      </c>
      <c r="R108" s="22">
        <f>'расшифровки ВО'!M284</f>
        <v>3193.3960000000002</v>
      </c>
      <c r="S108" s="22">
        <f>993.276+1575.997+74.098+205.087+0.206+145.41+199.322</f>
        <v>3193.3960000000002</v>
      </c>
      <c r="T108" s="22">
        <f>'расшифровки ВО'!O284</f>
        <v>3321.1318400000005</v>
      </c>
      <c r="U108" s="22">
        <f>Q108*U2</f>
        <v>1507.5181971132665</v>
      </c>
      <c r="V108" s="22">
        <f>'расшифровки ВО'!O284</f>
        <v>3321.1318400000005</v>
      </c>
      <c r="W108" s="22">
        <f>'расшифровки ВО'!Q284</f>
        <v>3453.9771136000004</v>
      </c>
      <c r="X108" s="22">
        <f>U108*$X$1</f>
        <v>1543.1785400659808</v>
      </c>
      <c r="Y108" s="22">
        <f>'расшифровки ВО'!S284</f>
        <v>3592.1361981440004</v>
      </c>
      <c r="Z108" s="22">
        <f>X108*Z1</f>
        <v>1633.5131452096377</v>
      </c>
      <c r="AA108" s="22">
        <f>'расшифровки ВО'!U284</f>
        <v>3735.8216460697604</v>
      </c>
      <c r="AB108" s="22">
        <v>0</v>
      </c>
      <c r="AC108" s="128">
        <v>1.0827825745909818</v>
      </c>
    </row>
    <row r="109" spans="2:29" ht="21">
      <c r="B109" s="19"/>
      <c r="C109" s="20" t="s">
        <v>180</v>
      </c>
      <c r="D109" s="48" t="s">
        <v>181</v>
      </c>
      <c r="E109" s="16" t="s">
        <v>22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>
        <f t="shared" si="9"/>
        <v>0</v>
      </c>
      <c r="P109" s="22"/>
      <c r="Q109" s="23"/>
      <c r="R109" s="23"/>
      <c r="S109" s="23"/>
      <c r="T109" s="22"/>
      <c r="U109" s="22"/>
      <c r="V109" s="22"/>
      <c r="W109" s="22"/>
      <c r="X109" s="22">
        <f t="shared" ref="X109:X114" si="12">U109*$X$1</f>
        <v>0</v>
      </c>
      <c r="Y109" s="22"/>
      <c r="Z109" s="22"/>
      <c r="AA109" s="22"/>
      <c r="AB109" s="22"/>
      <c r="AC109" s="128" t="e">
        <v>#DIV/0!</v>
      </c>
    </row>
    <row r="110" spans="2:29" ht="21">
      <c r="B110" s="19"/>
      <c r="C110" s="20" t="s">
        <v>182</v>
      </c>
      <c r="D110" s="48" t="s">
        <v>525</v>
      </c>
      <c r="E110" s="16" t="s">
        <v>22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>
        <f t="shared" si="9"/>
        <v>0</v>
      </c>
      <c r="P110" s="22"/>
      <c r="Q110" s="23"/>
      <c r="R110" s="23"/>
      <c r="S110" s="23"/>
      <c r="T110" s="22"/>
      <c r="U110" s="22"/>
      <c r="V110" s="22"/>
      <c r="W110" s="22"/>
      <c r="X110" s="22">
        <f t="shared" si="12"/>
        <v>0</v>
      </c>
      <c r="Y110" s="22"/>
      <c r="Z110" s="22"/>
      <c r="AA110" s="22"/>
      <c r="AB110" s="22"/>
      <c r="AC110" s="128" t="e">
        <v>#DIV/0!</v>
      </c>
    </row>
    <row r="111" spans="2:29">
      <c r="B111" s="19"/>
      <c r="C111" s="20" t="s">
        <v>184</v>
      </c>
      <c r="D111" s="48" t="s">
        <v>185</v>
      </c>
      <c r="E111" s="16" t="s">
        <v>22</v>
      </c>
      <c r="F111" s="22">
        <v>0</v>
      </c>
      <c r="G111" s="22">
        <v>0</v>
      </c>
      <c r="H111" s="22">
        <v>1653.57</v>
      </c>
      <c r="I111" s="22">
        <v>2736.84</v>
      </c>
      <c r="J111" s="22">
        <v>1702.505672</v>
      </c>
      <c r="K111" s="22">
        <v>1842.9</v>
      </c>
      <c r="L111" s="22">
        <v>1747.8516955396881</v>
      </c>
      <c r="M111" s="22">
        <v>1891.9745841000001</v>
      </c>
      <c r="N111" s="22">
        <f>1554.143+2016.88</f>
        <v>3571.0230000000001</v>
      </c>
      <c r="O111" s="22">
        <f t="shared" si="9"/>
        <v>1823.1713044603121</v>
      </c>
      <c r="P111" s="22">
        <v>1967.6535674640002</v>
      </c>
      <c r="Q111" s="23">
        <v>1828.903098100624</v>
      </c>
      <c r="R111" s="22">
        <f>'расшифровки ВО'!M297</f>
        <v>4221.9170000000004</v>
      </c>
      <c r="S111" s="22">
        <f>160.071+1575.97+1912.082+573.794</f>
        <v>4221.9170000000004</v>
      </c>
      <c r="T111" s="22">
        <f>'расшифровки ВО'!O297</f>
        <v>4390.7936800000007</v>
      </c>
      <c r="U111" s="22">
        <f>Q111*U2</f>
        <v>1872.2481015256089</v>
      </c>
      <c r="V111" s="22">
        <f>'расшифровки ВО'!O297</f>
        <v>4390.7936800000007</v>
      </c>
      <c r="W111" s="22">
        <f>'расшифровки ВО'!Q297</f>
        <v>4566.4254272000007</v>
      </c>
      <c r="X111" s="22">
        <f t="shared" si="12"/>
        <v>1916.5361303671973</v>
      </c>
      <c r="Y111" s="22">
        <f>'расшифровки ВО'!S297</f>
        <v>4749.0824442880012</v>
      </c>
      <c r="Z111" s="22">
        <f>X111*Z1</f>
        <v>2028.72634691393</v>
      </c>
      <c r="AA111" s="22">
        <f>'расшифровки ВО'!U297</f>
        <v>4939.0457420595212</v>
      </c>
      <c r="AB111" s="22">
        <v>0</v>
      </c>
      <c r="AC111" s="22">
        <v>0</v>
      </c>
    </row>
    <row r="112" spans="2:29" ht="21">
      <c r="B112" s="19"/>
      <c r="C112" s="20" t="s">
        <v>526</v>
      </c>
      <c r="D112" s="48" t="s">
        <v>527</v>
      </c>
      <c r="E112" s="16"/>
      <c r="F112" s="22"/>
      <c r="G112" s="22"/>
      <c r="H112" s="22"/>
      <c r="I112" s="22"/>
      <c r="J112" s="22"/>
      <c r="K112" s="22">
        <v>9046.4709999999995</v>
      </c>
      <c r="L112" s="22">
        <v>0</v>
      </c>
      <c r="M112" s="22">
        <v>9287.3694762590003</v>
      </c>
      <c r="N112" s="22">
        <v>13739.130999999999</v>
      </c>
      <c r="O112" s="22">
        <f t="shared" si="9"/>
        <v>13739.130999999999</v>
      </c>
      <c r="P112" s="22">
        <v>9658.8642553093614</v>
      </c>
      <c r="Q112" s="133">
        <v>9789.3455999999969</v>
      </c>
      <c r="R112" s="631">
        <f>'расшифровки ВО'!M298</f>
        <v>14362.45</v>
      </c>
      <c r="S112" s="631">
        <v>14362.45</v>
      </c>
      <c r="T112" s="22">
        <f>'расшифровки ВО'!O298</f>
        <v>14936.948000000002</v>
      </c>
      <c r="U112" s="22">
        <f>Q112*U2</f>
        <v>10021.353090719997</v>
      </c>
      <c r="V112" s="22">
        <f>'расшифровки ВО'!O298</f>
        <v>14936.948000000002</v>
      </c>
      <c r="W112" s="22">
        <f>'расшифровки ВО'!Q298</f>
        <v>15534.425920000003</v>
      </c>
      <c r="X112" s="22">
        <f t="shared" si="12"/>
        <v>10258.408198080979</v>
      </c>
      <c r="Y112" s="22">
        <f>'расшифровки ВО'!S298</f>
        <v>16155.802956800004</v>
      </c>
      <c r="Z112" s="22">
        <f>X112*Z1</f>
        <v>10858.915028571557</v>
      </c>
      <c r="AA112" s="22">
        <f>'расшифровки ВО'!U298</f>
        <v>16802.035075072006</v>
      </c>
      <c r="AB112" s="22">
        <v>0</v>
      </c>
      <c r="AC112" s="128"/>
    </row>
    <row r="113" spans="2:30" ht="21">
      <c r="B113" s="19"/>
      <c r="C113" s="20" t="s">
        <v>528</v>
      </c>
      <c r="D113" s="48" t="s">
        <v>529</v>
      </c>
      <c r="E113" s="16" t="s">
        <v>22</v>
      </c>
      <c r="F113" s="22"/>
      <c r="G113" s="22"/>
      <c r="H113" s="22"/>
      <c r="I113" s="22"/>
      <c r="J113" s="22">
        <v>110736.2</v>
      </c>
      <c r="K113" s="22"/>
      <c r="L113" s="22"/>
      <c r="M113" s="22"/>
      <c r="N113" s="22"/>
      <c r="O113" s="22">
        <f t="shared" si="9"/>
        <v>0</v>
      </c>
      <c r="P113" s="22"/>
      <c r="Q113" s="23"/>
      <c r="R113" s="23"/>
      <c r="S113" s="23"/>
      <c r="T113" s="22"/>
      <c r="U113" s="22"/>
      <c r="V113" s="22"/>
      <c r="W113" s="22"/>
      <c r="X113" s="22">
        <f t="shared" si="12"/>
        <v>0</v>
      </c>
      <c r="Y113" s="22"/>
      <c r="Z113" s="22"/>
      <c r="AA113" s="22"/>
      <c r="AB113" s="22"/>
      <c r="AC113" s="128" t="e">
        <v>#DIV/0!</v>
      </c>
    </row>
    <row r="114" spans="2:30" ht="21">
      <c r="B114" s="19"/>
      <c r="C114" s="20" t="s">
        <v>1267</v>
      </c>
      <c r="D114" s="46" t="s">
        <v>1266</v>
      </c>
      <c r="E114" s="16" t="s">
        <v>22</v>
      </c>
      <c r="F114" s="22"/>
      <c r="G114" s="22"/>
      <c r="H114" s="22"/>
      <c r="I114" s="22"/>
      <c r="J114" s="22"/>
      <c r="K114" s="22"/>
      <c r="L114" s="22"/>
      <c r="M114" s="22"/>
      <c r="N114" s="22">
        <f>5097.45+3120.99</f>
        <v>8218.4399999999987</v>
      </c>
      <c r="O114" s="22"/>
      <c r="P114" s="22"/>
      <c r="Q114" s="23"/>
      <c r="R114" s="22">
        <f>N114*1.04</f>
        <v>8547.1775999999991</v>
      </c>
      <c r="S114" s="22">
        <f>5469.72+5424.297</f>
        <v>10894.017</v>
      </c>
      <c r="T114" s="22">
        <f>R114*1.04</f>
        <v>8889.0647039999985</v>
      </c>
      <c r="U114" s="22"/>
      <c r="V114" s="22">
        <f>'расшифровки ВО'!O299</f>
        <v>11329.777680000001</v>
      </c>
      <c r="W114" s="22">
        <f>'расшифровки ВО'!Q299</f>
        <v>11782.968787200001</v>
      </c>
      <c r="X114" s="22">
        <f t="shared" si="12"/>
        <v>0</v>
      </c>
      <c r="Y114" s="22">
        <f>'расшифровки ВО'!S299</f>
        <v>12254.287538688002</v>
      </c>
      <c r="Z114" s="22">
        <v>0</v>
      </c>
      <c r="AA114" s="22">
        <f>'расшифровки ВО'!U299</f>
        <v>12744.459040235522</v>
      </c>
      <c r="AB114" s="22"/>
      <c r="AC114" s="128"/>
    </row>
    <row r="115" spans="2:30">
      <c r="B115" s="13" t="s">
        <v>23</v>
      </c>
      <c r="C115" s="14" t="s">
        <v>186</v>
      </c>
      <c r="D115" s="15" t="s">
        <v>187</v>
      </c>
      <c r="E115" s="16" t="s">
        <v>22</v>
      </c>
      <c r="F115" s="17">
        <v>30517.434400000002</v>
      </c>
      <c r="G115" s="17">
        <v>26151.548999999999</v>
      </c>
      <c r="H115" s="17">
        <v>9016.0486000000001</v>
      </c>
      <c r="I115" s="17">
        <v>17409.927800000001</v>
      </c>
      <c r="J115" s="17">
        <v>28835.32</v>
      </c>
      <c r="K115" s="17">
        <v>12461.212940000001</v>
      </c>
      <c r="L115" s="17">
        <v>29603.21</v>
      </c>
      <c r="M115" s="17">
        <v>19653.0625</v>
      </c>
      <c r="N115" s="17">
        <f>N119</f>
        <v>14628.328299000003</v>
      </c>
      <c r="O115" s="22">
        <f t="shared" si="9"/>
        <v>-14974.881700999997</v>
      </c>
      <c r="P115" s="17">
        <v>20439.185000000005</v>
      </c>
      <c r="Q115" s="18">
        <v>9638.8497599360871</v>
      </c>
      <c r="R115" s="17">
        <f>R119</f>
        <v>14677.133328</v>
      </c>
      <c r="S115" s="17">
        <f>S119</f>
        <v>10277.397999999999</v>
      </c>
      <c r="T115" s="17">
        <f t="shared" ref="T115:AB115" si="13">T119</f>
        <v>10537.177599448278</v>
      </c>
      <c r="U115" s="17">
        <f t="shared" si="13"/>
        <v>9867.2904992465737</v>
      </c>
      <c r="V115" s="17">
        <f t="shared" si="13"/>
        <v>10537.177599448278</v>
      </c>
      <c r="W115" s="17">
        <f t="shared" si="13"/>
        <v>10952.281342653796</v>
      </c>
      <c r="X115" s="17">
        <f t="shared" si="13"/>
        <v>10100.701256006252</v>
      </c>
      <c r="Y115" s="17">
        <f t="shared" si="13"/>
        <v>11294.224827311667</v>
      </c>
      <c r="Z115" s="17">
        <f t="shared" si="13"/>
        <v>10691.976235501725</v>
      </c>
      <c r="AA115" s="17">
        <f t="shared" si="13"/>
        <v>11743.201035962755</v>
      </c>
      <c r="AB115" s="17">
        <f t="shared" si="13"/>
        <v>0</v>
      </c>
      <c r="AC115" s="128">
        <v>0.7970131739919657</v>
      </c>
    </row>
    <row r="116" spans="2:30" ht="21">
      <c r="B116" s="19"/>
      <c r="C116" s="20" t="s">
        <v>188</v>
      </c>
      <c r="D116" s="21" t="s">
        <v>189</v>
      </c>
      <c r="E116" s="16" t="s">
        <v>22</v>
      </c>
      <c r="F116" s="22">
        <v>17095.982000000004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/>
      <c r="O116" s="22">
        <f t="shared" si="9"/>
        <v>0</v>
      </c>
      <c r="P116" s="22">
        <v>0</v>
      </c>
      <c r="Q116" s="23">
        <v>0</v>
      </c>
      <c r="R116" s="23"/>
      <c r="S116" s="23"/>
      <c r="T116" s="22"/>
      <c r="U116" s="22"/>
      <c r="V116" s="22"/>
      <c r="W116" s="22"/>
      <c r="X116" s="22"/>
      <c r="Y116" s="22"/>
      <c r="Z116" s="22"/>
      <c r="AA116" s="22"/>
      <c r="AB116" s="22"/>
      <c r="AC116" s="128" t="e">
        <v>#DIV/0!</v>
      </c>
    </row>
    <row r="117" spans="2:30" ht="31.5">
      <c r="B117" s="19"/>
      <c r="C117" s="20" t="s">
        <v>190</v>
      </c>
      <c r="D117" s="40" t="s">
        <v>191</v>
      </c>
      <c r="E117" s="16" t="s">
        <v>22</v>
      </c>
      <c r="F117" s="22">
        <v>5162.9850000000006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/>
      <c r="O117" s="22">
        <f t="shared" si="9"/>
        <v>0</v>
      </c>
      <c r="P117" s="22">
        <v>0</v>
      </c>
      <c r="Q117" s="23">
        <v>0</v>
      </c>
      <c r="R117" s="23"/>
      <c r="S117" s="23"/>
      <c r="T117" s="22"/>
      <c r="U117" s="22"/>
      <c r="V117" s="22"/>
      <c r="W117" s="22"/>
      <c r="X117" s="22"/>
      <c r="Y117" s="22"/>
      <c r="Z117" s="22"/>
      <c r="AA117" s="22"/>
      <c r="AB117" s="22"/>
      <c r="AC117" s="128" t="e">
        <v>#DIV/0!</v>
      </c>
    </row>
    <row r="118" spans="2:30">
      <c r="B118" s="19"/>
      <c r="C118" s="20" t="s">
        <v>192</v>
      </c>
      <c r="D118" s="48" t="s">
        <v>193</v>
      </c>
      <c r="E118" s="16" t="s">
        <v>22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f t="shared" si="9"/>
        <v>0</v>
      </c>
      <c r="P118" s="22"/>
      <c r="Q118" s="23"/>
      <c r="R118" s="23"/>
      <c r="S118" s="23"/>
      <c r="T118" s="22"/>
      <c r="U118" s="22"/>
      <c r="V118" s="22"/>
      <c r="W118" s="22"/>
      <c r="X118" s="22"/>
      <c r="Y118" s="22"/>
      <c r="Z118" s="22"/>
      <c r="AA118" s="22"/>
      <c r="AB118" s="22"/>
      <c r="AC118" s="128" t="e">
        <v>#DIV/0!</v>
      </c>
    </row>
    <row r="119" spans="2:30" ht="117">
      <c r="B119" s="19"/>
      <c r="C119" s="20" t="s">
        <v>194</v>
      </c>
      <c r="D119" s="339" t="s">
        <v>1376</v>
      </c>
      <c r="E119" s="16" t="s">
        <v>22</v>
      </c>
      <c r="F119" s="22">
        <v>8258.4673999999977</v>
      </c>
      <c r="G119" s="22">
        <v>26151.548999999999</v>
      </c>
      <c r="H119" s="22">
        <v>9016.0486000000001</v>
      </c>
      <c r="I119" s="22">
        <v>17409.927800000001</v>
      </c>
      <c r="J119" s="22">
        <v>28835.32</v>
      </c>
      <c r="K119" s="22">
        <v>12461.212940000001</v>
      </c>
      <c r="L119" s="22">
        <v>29603.21</v>
      </c>
      <c r="M119" s="22">
        <v>19653.0625</v>
      </c>
      <c r="N119" s="22">
        <f>'Цеховые расходы'!N63</f>
        <v>14628.328299000003</v>
      </c>
      <c r="O119" s="22">
        <f t="shared" si="9"/>
        <v>-14974.881700999997</v>
      </c>
      <c r="P119" s="22">
        <v>20439.185000000005</v>
      </c>
      <c r="Q119" s="23">
        <v>9638.8497599360871</v>
      </c>
      <c r="R119" s="22">
        <f>'Цеховые расходы'!O63</f>
        <v>14677.133328</v>
      </c>
      <c r="S119" s="22">
        <f>'Цеховые расходы'!S57</f>
        <v>10277.397999999999</v>
      </c>
      <c r="T119" s="22">
        <f>'Цеховые расходы'!T63</f>
        <v>10537.177599448278</v>
      </c>
      <c r="U119" s="22">
        <f>Q119*U2</f>
        <v>9867.2904992465737</v>
      </c>
      <c r="V119" s="22">
        <f>'Цеховые расходы'!T63</f>
        <v>10537.177599448278</v>
      </c>
      <c r="W119" s="22">
        <f>'Цеховые расходы'!V63</f>
        <v>10952.281342653796</v>
      </c>
      <c r="X119" s="22">
        <f>U119*X1</f>
        <v>10100.701256006252</v>
      </c>
      <c r="Y119" s="22">
        <f>'Цеховые расходы'!X63</f>
        <v>11294.224827311667</v>
      </c>
      <c r="Z119" s="22">
        <f>X119*Z1</f>
        <v>10691.976235501725</v>
      </c>
      <c r="AA119" s="22">
        <f>'Цеховые расходы'!Z63</f>
        <v>11743.201035962755</v>
      </c>
      <c r="AB119" s="22">
        <v>0</v>
      </c>
      <c r="AC119" s="128">
        <v>0.7970131739919657</v>
      </c>
    </row>
    <row r="120" spans="2:30">
      <c r="B120" s="13" t="s">
        <v>23</v>
      </c>
      <c r="C120" s="49" t="s">
        <v>196</v>
      </c>
      <c r="D120" s="49" t="s">
        <v>197</v>
      </c>
      <c r="E120" s="16" t="s">
        <v>22</v>
      </c>
      <c r="F120" s="17">
        <v>23906.553800000002</v>
      </c>
      <c r="G120" s="17">
        <v>25693.024839199999</v>
      </c>
      <c r="H120" s="17">
        <v>14243.56</v>
      </c>
      <c r="I120" s="17">
        <v>48959.207173806957</v>
      </c>
      <c r="J120" s="17">
        <v>14679.031315538305</v>
      </c>
      <c r="K120" s="17">
        <v>40936.805447967992</v>
      </c>
      <c r="L120" s="17">
        <v>15069.93812167957</v>
      </c>
      <c r="M120" s="17">
        <v>62083.653208042459</v>
      </c>
      <c r="N120" s="17">
        <f>N121+N123+N125</f>
        <v>65857.122999999992</v>
      </c>
      <c r="O120" s="22">
        <f t="shared" si="9"/>
        <v>50787.184878320419</v>
      </c>
      <c r="P120" s="17">
        <v>14865.817736364155</v>
      </c>
      <c r="Q120" s="18">
        <v>14601.436742634778</v>
      </c>
      <c r="R120" s="17">
        <f>R121+R123+R125</f>
        <v>22223.256880000001</v>
      </c>
      <c r="S120" s="17">
        <f>S121+S123+S125</f>
        <v>34246.977280000006</v>
      </c>
      <c r="T120" s="17">
        <f>T121+T123+T125</f>
        <v>23115.362355199999</v>
      </c>
      <c r="U120" s="17">
        <f>U121+U123+U125+0.01</f>
        <v>14947.500793435222</v>
      </c>
      <c r="V120" s="17">
        <f t="shared" ref="V120:AA120" si="14">V121+V123+V125</f>
        <v>50997.766129999996</v>
      </c>
      <c r="W120" s="17">
        <f t="shared" si="14"/>
        <v>86553.513139999995</v>
      </c>
      <c r="X120" s="17">
        <f t="shared" si="14"/>
        <v>15301.073688153931</v>
      </c>
      <c r="Y120" s="17">
        <f t="shared" si="14"/>
        <v>89441.526602800004</v>
      </c>
      <c r="Z120" s="17">
        <f t="shared" si="14"/>
        <v>16196.768135689657</v>
      </c>
      <c r="AA120" s="17">
        <f t="shared" si="14"/>
        <v>92379.677734855999</v>
      </c>
      <c r="AB120" s="17">
        <v>0</v>
      </c>
      <c r="AC120" s="128">
        <v>1.1462249263353681</v>
      </c>
    </row>
    <row r="121" spans="2:30" ht="52.5">
      <c r="B121" s="19"/>
      <c r="C121" s="14" t="s">
        <v>198</v>
      </c>
      <c r="D121" s="15" t="s">
        <v>199</v>
      </c>
      <c r="E121" s="16" t="s">
        <v>22</v>
      </c>
      <c r="F121" s="22">
        <v>8632.2999999999993</v>
      </c>
      <c r="G121" s="22">
        <v>7537.08</v>
      </c>
      <c r="H121" s="22">
        <v>8856.74</v>
      </c>
      <c r="I121" s="22">
        <v>13313.01</v>
      </c>
      <c r="J121" s="22">
        <v>9118.8995040000009</v>
      </c>
      <c r="K121" s="22">
        <v>7704.4269999999997</v>
      </c>
      <c r="L121" s="22">
        <v>9361.74</v>
      </c>
      <c r="M121" s="22">
        <v>7397.04</v>
      </c>
      <c r="N121" s="22">
        <f>20472.66+3928.37+53.41+1797.499</f>
        <v>26251.938999999998</v>
      </c>
      <c r="O121" s="22">
        <f t="shared" si="9"/>
        <v>16890.199000000001</v>
      </c>
      <c r="P121" s="22">
        <v>8915.34</v>
      </c>
      <c r="Q121" s="23">
        <v>8276.4190693339988</v>
      </c>
      <c r="R121" s="22">
        <v>15898.87</v>
      </c>
      <c r="S121" s="22">
        <f>11234.104+3138.64+3191.753-0.1</f>
        <v>17564.397000000001</v>
      </c>
      <c r="T121" s="22">
        <v>16538</v>
      </c>
      <c r="U121" s="22">
        <f>Q121*U2</f>
        <v>8472.5702012772144</v>
      </c>
      <c r="V121" s="22">
        <f>'расшифровки ВО'!O307</f>
        <v>20081.099999999999</v>
      </c>
      <c r="W121" s="22">
        <f>'расшифровки ВО'!Q307</f>
        <v>20982.34</v>
      </c>
      <c r="X121" s="22">
        <f>U121*X1</f>
        <v>8672.9888493884264</v>
      </c>
      <c r="Y121" s="22">
        <f>'расшифровки ВО'!S307</f>
        <v>21387.89</v>
      </c>
      <c r="Z121" s="22">
        <f>X121*Z1</f>
        <v>9180.6883817389389</v>
      </c>
      <c r="AA121" s="22">
        <f>'расшифровки ВО'!U307</f>
        <v>21747.09</v>
      </c>
      <c r="AB121" s="22">
        <v>0</v>
      </c>
      <c r="AC121" s="128">
        <v>1.1140756754951966</v>
      </c>
    </row>
    <row r="122" spans="2:30" ht="42">
      <c r="B122" s="19"/>
      <c r="C122" s="14" t="s">
        <v>200</v>
      </c>
      <c r="D122" s="50" t="s">
        <v>201</v>
      </c>
      <c r="E122" s="16" t="s">
        <v>22</v>
      </c>
      <c r="F122" s="22">
        <v>8632.2999999999993</v>
      </c>
      <c r="G122" s="22"/>
      <c r="H122" s="22"/>
      <c r="I122" s="22"/>
      <c r="J122" s="22"/>
      <c r="K122" s="22"/>
      <c r="L122" s="22"/>
      <c r="M122" s="22"/>
      <c r="N122" s="22"/>
      <c r="O122" s="22">
        <f t="shared" si="9"/>
        <v>0</v>
      </c>
      <c r="P122" s="22"/>
      <c r="Q122" s="23"/>
      <c r="R122" s="23"/>
      <c r="S122" s="23"/>
      <c r="T122" s="22"/>
      <c r="U122" s="22"/>
      <c r="V122" s="22"/>
      <c r="W122" s="22"/>
      <c r="X122" s="22"/>
      <c r="Y122" s="22"/>
      <c r="Z122" s="22"/>
      <c r="AA122" s="22"/>
      <c r="AB122" s="22"/>
      <c r="AC122" s="128" t="e">
        <v>#DIV/0!</v>
      </c>
    </row>
    <row r="123" spans="2:30" ht="52.5">
      <c r="B123" s="19"/>
      <c r="C123" s="14" t="s">
        <v>202</v>
      </c>
      <c r="D123" s="15" t="s">
        <v>203</v>
      </c>
      <c r="E123" s="16" t="s">
        <v>22</v>
      </c>
      <c r="F123" s="22">
        <v>10011.700000000001</v>
      </c>
      <c r="G123" s="22">
        <v>12699.78</v>
      </c>
      <c r="H123" s="22">
        <v>0</v>
      </c>
      <c r="I123" s="22">
        <v>29507.439999999999</v>
      </c>
      <c r="J123" s="22">
        <v>0</v>
      </c>
      <c r="K123" s="22">
        <v>30002.28</v>
      </c>
      <c r="L123" s="22">
        <v>0</v>
      </c>
      <c r="M123" s="22">
        <v>48965</v>
      </c>
      <c r="N123" s="22">
        <f>33924.802+17915.236-15034.9</f>
        <v>36805.137999999999</v>
      </c>
      <c r="O123" s="22">
        <f t="shared" si="9"/>
        <v>36805.137999999999</v>
      </c>
      <c r="P123" s="22">
        <v>0</v>
      </c>
      <c r="Q123" s="23">
        <v>0</v>
      </c>
      <c r="R123" s="51">
        <v>0</v>
      </c>
      <c r="S123" s="51">
        <f>4923.04+8091.988</f>
        <v>13015.028</v>
      </c>
      <c r="T123" s="22">
        <v>0</v>
      </c>
      <c r="U123" s="22">
        <v>0</v>
      </c>
      <c r="V123" s="22">
        <f t="shared" ref="V123:AA123" si="15">V124</f>
        <v>24500</v>
      </c>
      <c r="W123" s="22">
        <f t="shared" si="15"/>
        <v>58552</v>
      </c>
      <c r="X123" s="22">
        <f t="shared" si="15"/>
        <v>0</v>
      </c>
      <c r="Y123" s="22">
        <f t="shared" si="15"/>
        <v>60894.080000000002</v>
      </c>
      <c r="Z123" s="22">
        <f t="shared" si="15"/>
        <v>0</v>
      </c>
      <c r="AA123" s="22">
        <f t="shared" si="15"/>
        <v>63329.84</v>
      </c>
      <c r="AB123" s="22">
        <v>0</v>
      </c>
      <c r="AC123" s="128" t="e">
        <v>#DIV/0!</v>
      </c>
      <c r="AD123">
        <v>0</v>
      </c>
    </row>
    <row r="124" spans="2:30" ht="52.5">
      <c r="B124" s="19"/>
      <c r="C124" s="14" t="s">
        <v>204</v>
      </c>
      <c r="D124" s="50" t="s">
        <v>205</v>
      </c>
      <c r="E124" s="16" t="s">
        <v>22</v>
      </c>
      <c r="F124" s="22">
        <v>10011.700000000001</v>
      </c>
      <c r="G124" s="22"/>
      <c r="H124" s="22"/>
      <c r="I124" s="22"/>
      <c r="J124" s="22"/>
      <c r="K124" s="22"/>
      <c r="L124" s="22"/>
      <c r="M124" s="22"/>
      <c r="N124" s="22"/>
      <c r="O124" s="22">
        <f t="shared" si="9"/>
        <v>0</v>
      </c>
      <c r="P124" s="22">
        <v>88438.464999999997</v>
      </c>
      <c r="Q124" s="23">
        <v>0</v>
      </c>
      <c r="R124" s="51">
        <f>N123</f>
        <v>36805.137999999999</v>
      </c>
      <c r="S124" s="51"/>
      <c r="T124" s="22">
        <v>56300</v>
      </c>
      <c r="U124" s="22">
        <v>56300</v>
      </c>
      <c r="V124" s="22">
        <f>'расшифровки ВО'!O315</f>
        <v>24500</v>
      </c>
      <c r="W124" s="22">
        <f>'расшифровки ВО'!Q315</f>
        <v>58552</v>
      </c>
      <c r="X124" s="22">
        <v>0</v>
      </c>
      <c r="Y124" s="22">
        <f>'расшифровки ВО'!S315</f>
        <v>60894.080000000002</v>
      </c>
      <c r="Z124" s="22">
        <v>0</v>
      </c>
      <c r="AA124" s="22">
        <f>'расшифровки ВО'!U315</f>
        <v>63329.84</v>
      </c>
      <c r="AB124" s="22">
        <v>0</v>
      </c>
      <c r="AC124" s="128" t="e">
        <v>#DIV/0!</v>
      </c>
    </row>
    <row r="125" spans="2:30" ht="42">
      <c r="B125" s="19"/>
      <c r="C125" s="14" t="s">
        <v>206</v>
      </c>
      <c r="D125" s="15" t="s">
        <v>207</v>
      </c>
      <c r="E125" s="16" t="s">
        <v>22</v>
      </c>
      <c r="F125" s="17">
        <v>5262.5537999999997</v>
      </c>
      <c r="G125" s="17">
        <v>5456.1648391999988</v>
      </c>
      <c r="H125" s="17">
        <v>5386.82</v>
      </c>
      <c r="I125" s="17">
        <v>6138.7671738069594</v>
      </c>
      <c r="J125" s="17">
        <v>5560.1318115383037</v>
      </c>
      <c r="K125" s="17">
        <v>3230.0984479679996</v>
      </c>
      <c r="L125" s="17">
        <v>5708.1981216795693</v>
      </c>
      <c r="M125" s="17">
        <v>5721.6132080424586</v>
      </c>
      <c r="N125" s="17">
        <f>N126+N137</f>
        <v>2800.0459999999998</v>
      </c>
      <c r="O125" s="22">
        <f t="shared" si="9"/>
        <v>-2908.1521216795695</v>
      </c>
      <c r="P125" s="17">
        <v>5950.477736364156</v>
      </c>
      <c r="Q125" s="18">
        <v>6325.0176733007784</v>
      </c>
      <c r="R125" s="17">
        <f t="shared" ref="R125:Z125" si="16">R126+R137</f>
        <v>6324.3868799999991</v>
      </c>
      <c r="S125" s="17">
        <f t="shared" si="16"/>
        <v>3667.5522799999999</v>
      </c>
      <c r="T125" s="17">
        <f t="shared" si="16"/>
        <v>6577.362355199999</v>
      </c>
      <c r="U125" s="17">
        <f t="shared" si="16"/>
        <v>6474.9205921580069</v>
      </c>
      <c r="V125" s="17">
        <f t="shared" si="16"/>
        <v>6416.6661299999996</v>
      </c>
      <c r="W125" s="17">
        <f t="shared" si="16"/>
        <v>7019.1731399999999</v>
      </c>
      <c r="X125" s="17">
        <f t="shared" si="16"/>
        <v>6628.0848387655051</v>
      </c>
      <c r="Y125" s="17">
        <f>Y126+Y137</f>
        <v>7159.5566027999985</v>
      </c>
      <c r="Z125" s="17">
        <f t="shared" si="16"/>
        <v>7016.0797539507184</v>
      </c>
      <c r="AA125" s="17">
        <f>AA126+AA137</f>
        <v>7302.7477348559996</v>
      </c>
      <c r="AB125" s="17">
        <v>0</v>
      </c>
      <c r="AC125" s="128">
        <v>1.2195122116621238</v>
      </c>
    </row>
    <row r="126" spans="2:30" ht="21">
      <c r="B126" s="19"/>
      <c r="C126" s="14" t="s">
        <v>208</v>
      </c>
      <c r="D126" s="48" t="s">
        <v>209</v>
      </c>
      <c r="E126" s="16" t="s">
        <v>22</v>
      </c>
      <c r="F126" s="22">
        <v>4041.9</v>
      </c>
      <c r="G126" s="22">
        <v>4190.5795999999991</v>
      </c>
      <c r="H126" s="22">
        <v>4137.34</v>
      </c>
      <c r="I126" s="22">
        <v>4714.8749414799995</v>
      </c>
      <c r="J126" s="22">
        <v>4270.4545403519996</v>
      </c>
      <c r="K126" s="22">
        <v>2480.8743839999997</v>
      </c>
      <c r="L126" s="22">
        <v>4384.1767447615739</v>
      </c>
      <c r="M126" s="22">
        <v>4394.4801905088007</v>
      </c>
      <c r="N126" s="22">
        <v>2141.6999999999998</v>
      </c>
      <c r="O126" s="22">
        <f t="shared" si="9"/>
        <v>-2242.4767447615741</v>
      </c>
      <c r="P126" s="22">
        <v>4570.259398129152</v>
      </c>
      <c r="Q126" s="23">
        <v>4854.1962189568521</v>
      </c>
      <c r="R126" s="22">
        <v>4857.4399999999996</v>
      </c>
      <c r="S126" s="22">
        <f>2079829.36/1000+721151.92/1000</f>
        <v>2800.98128</v>
      </c>
      <c r="T126" s="22">
        <f>T127*T128*12/1000</f>
        <v>5051.7375999999995</v>
      </c>
      <c r="U126" s="22">
        <f>U127*U128*12/1000</f>
        <v>4969.2406693461298</v>
      </c>
      <c r="V126" s="22">
        <v>4928.3149999999996</v>
      </c>
      <c r="W126" s="22">
        <v>5391.07</v>
      </c>
      <c r="X126" s="22">
        <f>U126*X1</f>
        <v>5086.7880573795128</v>
      </c>
      <c r="Y126" s="22">
        <f>Y127*12*Y128/1000</f>
        <v>5498.8913999999986</v>
      </c>
      <c r="Z126" s="22">
        <f>X126*Z1</f>
        <v>5384.5585218347805</v>
      </c>
      <c r="AA126" s="22">
        <f>AA127*12*AA128/1000</f>
        <v>5608.8692279999996</v>
      </c>
      <c r="AB126" s="22"/>
      <c r="AC126" s="128">
        <v>1.2195122116621238</v>
      </c>
    </row>
    <row r="127" spans="2:30" ht="31.5">
      <c r="B127" s="19"/>
      <c r="C127" s="33" t="s">
        <v>210</v>
      </c>
      <c r="D127" s="39" t="s">
        <v>149</v>
      </c>
      <c r="E127" s="16" t="s">
        <v>31</v>
      </c>
      <c r="F127" s="22">
        <v>14</v>
      </c>
      <c r="G127" s="22">
        <v>14</v>
      </c>
      <c r="H127" s="22">
        <v>14</v>
      </c>
      <c r="I127" s="22">
        <v>14.0189</v>
      </c>
      <c r="J127" s="22">
        <v>14</v>
      </c>
      <c r="K127" s="22">
        <v>8.34</v>
      </c>
      <c r="L127" s="22">
        <v>14</v>
      </c>
      <c r="M127" s="22">
        <v>14.030560000000001</v>
      </c>
      <c r="N127" s="22">
        <v>6.8</v>
      </c>
      <c r="O127" s="22">
        <f t="shared" si="9"/>
        <v>-7.2</v>
      </c>
      <c r="P127" s="22">
        <v>14.030560000000001</v>
      </c>
      <c r="Q127" s="23">
        <v>14.030560000000001</v>
      </c>
      <c r="R127" s="22">
        <v>14</v>
      </c>
      <c r="S127" s="22">
        <v>8.5</v>
      </c>
      <c r="T127" s="22">
        <v>14</v>
      </c>
      <c r="U127" s="22">
        <f>Q127</f>
        <v>14.030560000000001</v>
      </c>
      <c r="V127" s="22">
        <v>14.3</v>
      </c>
      <c r="W127" s="22">
        <v>15</v>
      </c>
      <c r="X127" s="22">
        <v>14</v>
      </c>
      <c r="Y127" s="22">
        <v>15</v>
      </c>
      <c r="Z127" s="22">
        <f>X127</f>
        <v>14</v>
      </c>
      <c r="AA127" s="22">
        <v>15</v>
      </c>
      <c r="AB127" s="22">
        <v>0</v>
      </c>
      <c r="AC127" s="128">
        <v>1.0021828571428573</v>
      </c>
    </row>
    <row r="128" spans="2:30" ht="21">
      <c r="B128" s="19"/>
      <c r="C128" s="33" t="s">
        <v>211</v>
      </c>
      <c r="D128" s="29" t="s">
        <v>212</v>
      </c>
      <c r="E128" s="16" t="s">
        <v>152</v>
      </c>
      <c r="F128" s="17">
        <v>24058.928571428569</v>
      </c>
      <c r="G128" s="17">
        <v>24943.926190476184</v>
      </c>
      <c r="H128" s="17">
        <v>24627.023809523813</v>
      </c>
      <c r="I128" s="17">
        <v>28026.895485618221</v>
      </c>
      <c r="J128" s="17">
        <v>25419.372264000001</v>
      </c>
      <c r="K128" s="17">
        <v>24788.912709832133</v>
      </c>
      <c r="L128" s="17">
        <v>26096.290147390318</v>
      </c>
      <c r="M128" s="17">
        <v>26100.646199609997</v>
      </c>
      <c r="N128" s="17">
        <f>N126/12/N127*1000</f>
        <v>26246.323529411766</v>
      </c>
      <c r="O128" s="22">
        <f t="shared" si="9"/>
        <v>150.03338202144732</v>
      </c>
      <c r="P128" s="17">
        <v>27144.672047594391</v>
      </c>
      <c r="Q128" s="18">
        <v>28831.090960000001</v>
      </c>
      <c r="R128" s="17">
        <f>R126/12/R127*1000</f>
        <v>28913.333333333332</v>
      </c>
      <c r="S128" s="17">
        <f>S126/12/S127*1000</f>
        <v>27460.600784313727</v>
      </c>
      <c r="T128" s="17">
        <f>R128*1.04</f>
        <v>30069.866666666665</v>
      </c>
      <c r="U128" s="17">
        <f>Q128*U2</f>
        <v>29514.387815752001</v>
      </c>
      <c r="V128" s="17">
        <f>V126/12/V127*1000</f>
        <v>28719.784382284379</v>
      </c>
      <c r="W128" s="17">
        <f>W126/W127/12*1000</f>
        <v>29950.388888888883</v>
      </c>
      <c r="X128" s="17">
        <f>X126/X127/12*1000</f>
        <v>30278.500341544717</v>
      </c>
      <c r="Y128" s="17">
        <f>W128*1.02</f>
        <v>30549.39666666666</v>
      </c>
      <c r="Z128" s="17">
        <v>0</v>
      </c>
      <c r="AA128" s="17">
        <f>Y128*1.02</f>
        <v>31160.384599999994</v>
      </c>
      <c r="AB128" s="17">
        <v>0</v>
      </c>
      <c r="AC128" s="128">
        <v>1.2168559888749795</v>
      </c>
    </row>
    <row r="129" spans="2:29" ht="42" hidden="1">
      <c r="B129" s="19"/>
      <c r="C129" s="33" t="s">
        <v>213</v>
      </c>
      <c r="D129" s="29" t="s">
        <v>214</v>
      </c>
      <c r="E129" s="16" t="s">
        <v>31</v>
      </c>
      <c r="F129" s="22">
        <v>14</v>
      </c>
      <c r="G129" s="22">
        <v>14</v>
      </c>
      <c r="H129" s="22">
        <v>14</v>
      </c>
      <c r="I129" s="22">
        <v>14</v>
      </c>
      <c r="J129" s="22"/>
      <c r="K129" s="22"/>
      <c r="L129" s="22"/>
      <c r="M129" s="22"/>
      <c r="N129" s="22"/>
      <c r="O129" s="22">
        <f t="shared" si="9"/>
        <v>0</v>
      </c>
      <c r="P129" s="22"/>
      <c r="Q129" s="23"/>
      <c r="R129" s="23"/>
      <c r="S129" s="23"/>
      <c r="T129" s="22"/>
      <c r="U129" s="22"/>
      <c r="V129" s="22"/>
      <c r="W129" s="22"/>
      <c r="X129" s="22"/>
      <c r="Y129" s="22"/>
      <c r="Z129" s="22"/>
      <c r="AA129" s="22"/>
      <c r="AB129" s="22"/>
      <c r="AC129" s="128" t="e">
        <v>#DIV/0!</v>
      </c>
    </row>
    <row r="130" spans="2:29" ht="52.5" hidden="1">
      <c r="B130" s="19"/>
      <c r="C130" s="33" t="s">
        <v>215</v>
      </c>
      <c r="D130" s="29" t="s">
        <v>216</v>
      </c>
      <c r="E130" s="16" t="s">
        <v>31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>
        <f t="shared" si="9"/>
        <v>0</v>
      </c>
      <c r="P130" s="22"/>
      <c r="Q130" s="23"/>
      <c r="R130" s="23"/>
      <c r="S130" s="23"/>
      <c r="T130" s="22"/>
      <c r="U130" s="22"/>
      <c r="V130" s="22"/>
      <c r="W130" s="22"/>
      <c r="X130" s="22"/>
      <c r="Y130" s="22"/>
      <c r="Z130" s="22"/>
      <c r="AA130" s="22"/>
      <c r="AB130" s="22"/>
      <c r="AC130" s="128" t="e">
        <v>#DIV/0!</v>
      </c>
    </row>
    <row r="131" spans="2:29" ht="21" hidden="1">
      <c r="B131" s="19"/>
      <c r="C131" s="33" t="s">
        <v>217</v>
      </c>
      <c r="D131" s="29" t="s">
        <v>158</v>
      </c>
      <c r="E131" s="16" t="s">
        <v>152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f t="shared" si="9"/>
        <v>0</v>
      </c>
      <c r="P131" s="22"/>
      <c r="Q131" s="23"/>
      <c r="R131" s="23"/>
      <c r="S131" s="23"/>
      <c r="T131" s="22"/>
      <c r="U131" s="22"/>
      <c r="V131" s="22"/>
      <c r="W131" s="22"/>
      <c r="X131" s="22"/>
      <c r="Y131" s="22"/>
      <c r="Z131" s="22"/>
      <c r="AA131" s="22"/>
      <c r="AB131" s="22"/>
      <c r="AC131" s="128" t="e">
        <v>#DIV/0!</v>
      </c>
    </row>
    <row r="132" spans="2:29" ht="21" hidden="1">
      <c r="B132" s="19"/>
      <c r="C132" s="33" t="s">
        <v>218</v>
      </c>
      <c r="D132" s="39" t="s">
        <v>160</v>
      </c>
      <c r="E132" s="16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f t="shared" si="9"/>
        <v>0</v>
      </c>
      <c r="P132" s="22"/>
      <c r="Q132" s="23"/>
      <c r="R132" s="23"/>
      <c r="S132" s="23"/>
      <c r="T132" s="22"/>
      <c r="U132" s="22"/>
      <c r="V132" s="22"/>
      <c r="W132" s="22"/>
      <c r="X132" s="22"/>
      <c r="Y132" s="22"/>
      <c r="Z132" s="22"/>
      <c r="AA132" s="22"/>
      <c r="AB132" s="22"/>
      <c r="AC132" s="128" t="e">
        <v>#DIV/0!</v>
      </c>
    </row>
    <row r="133" spans="2:29" ht="21" hidden="1">
      <c r="B133" s="19"/>
      <c r="C133" s="33" t="s">
        <v>219</v>
      </c>
      <c r="D133" s="29" t="s">
        <v>162</v>
      </c>
      <c r="E133" s="16" t="s">
        <v>152</v>
      </c>
      <c r="F133" s="22">
        <v>7479</v>
      </c>
      <c r="G133" s="22">
        <v>7479</v>
      </c>
      <c r="H133" s="22">
        <v>7893</v>
      </c>
      <c r="I133" s="22">
        <v>7893</v>
      </c>
      <c r="J133" s="22">
        <v>8288</v>
      </c>
      <c r="K133" s="22">
        <v>8288</v>
      </c>
      <c r="L133" s="22">
        <v>8702</v>
      </c>
      <c r="M133" s="22">
        <v>8702</v>
      </c>
      <c r="N133" s="22">
        <v>8705</v>
      </c>
      <c r="O133" s="22">
        <f t="shared" si="9"/>
        <v>3</v>
      </c>
      <c r="P133" s="22">
        <v>9050.08</v>
      </c>
      <c r="Q133" s="23"/>
      <c r="R133" s="23"/>
      <c r="S133" s="22">
        <v>9460.8799999999992</v>
      </c>
      <c r="T133" s="22">
        <v>9460.8799999999992</v>
      </c>
      <c r="U133" s="22">
        <v>9460.8799999999992</v>
      </c>
      <c r="V133" s="22"/>
      <c r="W133" s="22">
        <f>U133*1.04</f>
        <v>9839.3151999999991</v>
      </c>
      <c r="X133" s="22"/>
      <c r="Y133" s="22">
        <f>W133*1.02</f>
        <v>10036.101503999998</v>
      </c>
      <c r="Z133" s="22"/>
      <c r="AA133" s="22">
        <f>Y133*1.02</f>
        <v>10236.823534079998</v>
      </c>
      <c r="AB133" s="22"/>
      <c r="AC133" s="128">
        <v>1.1745379942400003</v>
      </c>
    </row>
    <row r="134" spans="2:29" ht="21" hidden="1">
      <c r="B134" s="19"/>
      <c r="C134" s="33" t="s">
        <v>220</v>
      </c>
      <c r="D134" s="39" t="s">
        <v>164</v>
      </c>
      <c r="E134" s="16"/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f t="shared" si="9"/>
        <v>0</v>
      </c>
      <c r="P134" s="22"/>
      <c r="Q134" s="23"/>
      <c r="R134" s="23"/>
      <c r="S134" s="23"/>
      <c r="T134" s="22"/>
      <c r="U134" s="22"/>
      <c r="V134" s="22"/>
      <c r="W134" s="22"/>
      <c r="X134" s="22"/>
      <c r="Y134" s="22"/>
      <c r="Z134" s="22"/>
      <c r="AA134" s="22"/>
      <c r="AB134" s="22"/>
      <c r="AC134" s="128" t="e">
        <v>#DIV/0!</v>
      </c>
    </row>
    <row r="135" spans="2:29" ht="21" hidden="1">
      <c r="B135" s="19"/>
      <c r="C135" s="33" t="s">
        <v>221</v>
      </c>
      <c r="D135" s="39" t="s">
        <v>166</v>
      </c>
      <c r="E135" s="16" t="s">
        <v>152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>
        <f t="shared" si="9"/>
        <v>0</v>
      </c>
      <c r="P135" s="22"/>
      <c r="Q135" s="23"/>
      <c r="R135" s="23"/>
      <c r="S135" s="23"/>
      <c r="T135" s="22"/>
      <c r="U135" s="22"/>
      <c r="V135" s="22"/>
      <c r="W135" s="22"/>
      <c r="X135" s="22"/>
      <c r="Y135" s="22"/>
      <c r="Z135" s="22"/>
      <c r="AA135" s="22"/>
      <c r="AB135" s="22"/>
      <c r="AC135" s="128" t="e">
        <v>#DIV/0!</v>
      </c>
    </row>
    <row r="136" spans="2:29" ht="31.5" hidden="1">
      <c r="B136" s="19"/>
      <c r="C136" s="33" t="s">
        <v>222</v>
      </c>
      <c r="D136" s="39" t="s">
        <v>168</v>
      </c>
      <c r="E136" s="16" t="s">
        <v>152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>
        <f t="shared" si="9"/>
        <v>0</v>
      </c>
      <c r="P136" s="22"/>
      <c r="Q136" s="23"/>
      <c r="R136" s="23"/>
      <c r="S136" s="23"/>
      <c r="T136" s="22"/>
      <c r="U136" s="22"/>
      <c r="V136" s="22"/>
      <c r="W136" s="22"/>
      <c r="X136" s="22"/>
      <c r="Y136" s="22"/>
      <c r="Z136" s="22"/>
      <c r="AA136" s="22"/>
      <c r="AB136" s="22"/>
      <c r="AC136" s="128" t="e">
        <v>#DIV/0!</v>
      </c>
    </row>
    <row r="137" spans="2:29" ht="20.25" customHeight="1">
      <c r="B137" s="19"/>
      <c r="C137" s="14" t="s">
        <v>223</v>
      </c>
      <c r="D137" s="40" t="s">
        <v>224</v>
      </c>
      <c r="E137" s="16" t="s">
        <v>22</v>
      </c>
      <c r="F137" s="22">
        <v>1220.6538</v>
      </c>
      <c r="G137" s="22">
        <v>1265.5852391999997</v>
      </c>
      <c r="H137" s="22">
        <v>1249.48</v>
      </c>
      <c r="I137" s="22">
        <v>1423.8922323269599</v>
      </c>
      <c r="J137" s="22">
        <v>1289.6772711863039</v>
      </c>
      <c r="K137" s="22">
        <v>749.22406396799988</v>
      </c>
      <c r="L137" s="22">
        <v>1324.0213769179952</v>
      </c>
      <c r="M137" s="22">
        <v>1327.1330175336577</v>
      </c>
      <c r="N137" s="22">
        <f>183.716+474.63</f>
        <v>658.346</v>
      </c>
      <c r="O137" s="22">
        <f t="shared" si="9"/>
        <v>-665.67537691799521</v>
      </c>
      <c r="P137" s="22">
        <v>1380.2183382350038</v>
      </c>
      <c r="Q137" s="23">
        <v>1470.8214543439262</v>
      </c>
      <c r="R137" s="22">
        <f>R126*0.302</f>
        <v>1466.9468799999997</v>
      </c>
      <c r="S137" s="22">
        <f>227.191+639.38</f>
        <v>866.57100000000003</v>
      </c>
      <c r="T137" s="22">
        <f>T126*0.302</f>
        <v>1525.6247551999998</v>
      </c>
      <c r="U137" s="22">
        <f>Q137*U2</f>
        <v>1505.6799228118773</v>
      </c>
      <c r="V137" s="22">
        <f>V126*0.302</f>
        <v>1488.3511299999998</v>
      </c>
      <c r="W137" s="22">
        <f>W126*0.302</f>
        <v>1628.1031399999999</v>
      </c>
      <c r="X137" s="22">
        <f>U137*X1</f>
        <v>1541.2967813859923</v>
      </c>
      <c r="Y137" s="22">
        <f>Y126*0.302</f>
        <v>1660.6652027999996</v>
      </c>
      <c r="Z137" s="22">
        <f>X137*Z1</f>
        <v>1631.5212321159383</v>
      </c>
      <c r="AA137" s="22">
        <f>AA126*0.302</f>
        <v>1693.8785068559998</v>
      </c>
      <c r="AB137" s="22"/>
      <c r="AC137" s="128">
        <v>1.2195122116621238</v>
      </c>
    </row>
    <row r="138" spans="2:29">
      <c r="B138" s="13" t="s">
        <v>23</v>
      </c>
      <c r="C138" s="49">
        <v>3</v>
      </c>
      <c r="D138" s="49" t="s">
        <v>225</v>
      </c>
      <c r="E138" s="16" t="s">
        <v>22</v>
      </c>
      <c r="F138" s="17">
        <v>26059.641144723206</v>
      </c>
      <c r="G138" s="17">
        <v>27053.794335600003</v>
      </c>
      <c r="H138" s="17">
        <v>23559.192360000005</v>
      </c>
      <c r="I138" s="17">
        <v>29734.001379999998</v>
      </c>
      <c r="J138" s="17">
        <v>28835.32496114356</v>
      </c>
      <c r="K138" s="17">
        <v>27321.722665199999</v>
      </c>
      <c r="L138" s="17">
        <v>29603.205757014406</v>
      </c>
      <c r="M138" s="17">
        <v>28741.180084548254</v>
      </c>
      <c r="N138" s="17">
        <f>N139+N148+N161+N162+N163+N164+N165+N166+N167+N168+N169+N170</f>
        <v>34421.820530700003</v>
      </c>
      <c r="O138" s="22">
        <f t="shared" si="9"/>
        <v>4818.6147736855964</v>
      </c>
      <c r="P138" s="17">
        <v>29890.827287930188</v>
      </c>
      <c r="Q138" s="18">
        <v>28236.325244724569</v>
      </c>
      <c r="R138" s="17">
        <f t="shared" ref="R138:Z138" si="17">R139+R148+R161+R162+R163+R164+R165+R166+R167+R168+R169+R170</f>
        <v>28236.333979999999</v>
      </c>
      <c r="S138" s="17">
        <f t="shared" si="17"/>
        <v>46028.414999999994</v>
      </c>
      <c r="T138" s="17">
        <f t="shared" si="17"/>
        <v>48270.747400000007</v>
      </c>
      <c r="U138" s="17">
        <f t="shared" si="17"/>
        <v>28905.974749493053</v>
      </c>
      <c r="V138" s="17">
        <f t="shared" si="17"/>
        <v>48270.746267999995</v>
      </c>
      <c r="W138" s="17">
        <f t="shared" si="17"/>
        <v>50087.382882119993</v>
      </c>
      <c r="X138" s="17">
        <f t="shared" si="17"/>
        <v>29589.74558219231</v>
      </c>
      <c r="Y138" s="17">
        <f>Y139+Y148+Y161+Y162+Y163+Y164+Y165+Y166+Y167+Y168+Y169+Y170</f>
        <v>51951.087732876789</v>
      </c>
      <c r="Z138" s="17">
        <f t="shared" si="17"/>
        <v>31321.870488072818</v>
      </c>
      <c r="AA138" s="17">
        <f>AA139+AA148+AA161+AA162+AA163+AA164+AA165+AA166+AA167+AA168+AA169+AA170</f>
        <v>53908.205351791221</v>
      </c>
      <c r="AB138" s="17">
        <v>0</v>
      </c>
      <c r="AC138" s="128">
        <v>1.1812247786705035</v>
      </c>
    </row>
    <row r="139" spans="2:29" ht="31.5">
      <c r="B139" s="19"/>
      <c r="C139" s="14" t="s">
        <v>226</v>
      </c>
      <c r="D139" s="15" t="s">
        <v>227</v>
      </c>
      <c r="E139" s="16" t="s">
        <v>22</v>
      </c>
      <c r="F139" s="17">
        <v>2301.3172000000004</v>
      </c>
      <c r="G139" s="17">
        <v>2547.1950000000002</v>
      </c>
      <c r="H139" s="17">
        <v>2696.88</v>
      </c>
      <c r="I139" s="17">
        <v>2822.2380000000003</v>
      </c>
      <c r="J139" s="17">
        <v>2776.42414736</v>
      </c>
      <c r="K139" s="17">
        <v>2517.1794600000003</v>
      </c>
      <c r="L139" s="17">
        <v>2850.6477788041966</v>
      </c>
      <c r="M139" s="17">
        <v>2280.5732111495122</v>
      </c>
      <c r="N139" s="17">
        <f>SUM(N140:N147)</f>
        <v>3377.7459027</v>
      </c>
      <c r="O139" s="22">
        <f t="shared" si="9"/>
        <v>527.09812389580338</v>
      </c>
      <c r="P139" s="17">
        <v>2371.7961395954926</v>
      </c>
      <c r="Q139" s="18">
        <v>1493.5219378664001</v>
      </c>
      <c r="R139" s="17">
        <f t="shared" ref="R139:Z139" si="18">SUM(R140:R147)</f>
        <v>1493.52</v>
      </c>
      <c r="S139" s="17">
        <f t="shared" si="18"/>
        <v>5456.3379999999988</v>
      </c>
      <c r="T139" s="17">
        <f t="shared" si="18"/>
        <v>5620.0300000000007</v>
      </c>
      <c r="U139" s="17">
        <f t="shared" si="18"/>
        <v>1529.368407793834</v>
      </c>
      <c r="V139" s="17">
        <f t="shared" si="18"/>
        <v>5620.0281400000003</v>
      </c>
      <c r="W139" s="17">
        <f t="shared" si="18"/>
        <v>5788.6289841999996</v>
      </c>
      <c r="X139" s="17">
        <f t="shared" si="18"/>
        <v>1565.5456174801971</v>
      </c>
      <c r="Y139" s="17">
        <f>SUM(Y140:Y147)</f>
        <v>5962.2878537259994</v>
      </c>
      <c r="Z139" s="17">
        <f t="shared" si="18"/>
        <v>1657.1895468880086</v>
      </c>
      <c r="AA139" s="17">
        <f>SUM(AA140:AA147)</f>
        <v>6141.1564893377799</v>
      </c>
      <c r="AB139" s="17">
        <v>0</v>
      </c>
      <c r="AC139" s="128">
        <v>0.97334579077485051</v>
      </c>
    </row>
    <row r="140" spans="2:29">
      <c r="B140" s="19"/>
      <c r="C140" s="14" t="s">
        <v>228</v>
      </c>
      <c r="D140" s="48" t="s">
        <v>229</v>
      </c>
      <c r="E140" s="16" t="s">
        <v>22</v>
      </c>
      <c r="F140" s="22">
        <v>512.72</v>
      </c>
      <c r="G140" s="22">
        <v>211.93560000000002</v>
      </c>
      <c r="H140" s="22">
        <v>625.80999999999995</v>
      </c>
      <c r="I140" s="22">
        <v>691.35600000000011</v>
      </c>
      <c r="J140" s="22">
        <v>644.33129903999998</v>
      </c>
      <c r="K140" s="22">
        <v>587.197</v>
      </c>
      <c r="L140" s="22">
        <v>661.4898415334352</v>
      </c>
      <c r="M140" s="22">
        <v>668.30399999999997</v>
      </c>
      <c r="N140" s="22">
        <f>'Админ. расх.'!AG7</f>
        <v>1568.2943250000001</v>
      </c>
      <c r="O140" s="22">
        <f t="shared" ref="O140:O203" si="19">N140-L140</f>
        <v>906.80448346656488</v>
      </c>
      <c r="P140" s="22">
        <v>695.03616</v>
      </c>
      <c r="Q140" s="23">
        <v>630.79167967400008</v>
      </c>
      <c r="R140" s="23">
        <f>'Админ. расх.'!AJ7</f>
        <v>630.79</v>
      </c>
      <c r="S140" s="323">
        <f>8.216+161.922+122.273+5.362+405.548</f>
        <v>703.32100000000003</v>
      </c>
      <c r="T140" s="22">
        <f>'Админ. расх.'!AS7</f>
        <v>724.42</v>
      </c>
      <c r="U140" s="22">
        <f>Q140*$U$2</f>
        <v>645.7414424822739</v>
      </c>
      <c r="V140" s="22">
        <f>S140*$V$3</f>
        <v>724.42063000000007</v>
      </c>
      <c r="W140" s="22">
        <f>V140*$W$3</f>
        <v>746.15324890000011</v>
      </c>
      <c r="X140" s="22">
        <f>U140*$X$1</f>
        <v>661.01645630419205</v>
      </c>
      <c r="Y140" s="22">
        <f>W140*$Y$3</f>
        <v>768.53784636700016</v>
      </c>
      <c r="Z140" s="22">
        <f>X140*$Z$1</f>
        <v>699.71104608973008</v>
      </c>
      <c r="AA140" s="22">
        <f>Y140*$AA$3</f>
        <v>791.59398175801016</v>
      </c>
      <c r="AB140" s="22"/>
      <c r="AC140" s="128">
        <v>1.2291859227961122</v>
      </c>
    </row>
    <row r="141" spans="2:29" s="57" customFormat="1">
      <c r="B141" s="52"/>
      <c r="C141" s="53" t="s">
        <v>230</v>
      </c>
      <c r="D141" s="54" t="s">
        <v>231</v>
      </c>
      <c r="E141" s="55" t="s">
        <v>22</v>
      </c>
      <c r="F141" s="56">
        <v>605.20000000000005</v>
      </c>
      <c r="G141" s="56">
        <v>1003.5644</v>
      </c>
      <c r="H141" s="56">
        <v>152.83000000000001</v>
      </c>
      <c r="I141" s="56">
        <v>9.5302000000000007</v>
      </c>
      <c r="J141" s="56">
        <v>157.353768</v>
      </c>
      <c r="K141" s="56">
        <v>4.6580000000000004</v>
      </c>
      <c r="L141" s="56">
        <v>161.54409884184</v>
      </c>
      <c r="M141" s="56">
        <v>161.54409884184</v>
      </c>
      <c r="N141" s="22">
        <f>'Админ. расх.'!AG8</f>
        <v>13.705848</v>
      </c>
      <c r="O141" s="22">
        <f t="shared" si="19"/>
        <v>-147.83825084183999</v>
      </c>
      <c r="P141" s="56">
        <v>168.00586279551362</v>
      </c>
      <c r="Q141" s="23">
        <v>0</v>
      </c>
      <c r="R141" s="23">
        <f>'Админ. расх.'!AJ8</f>
        <v>0</v>
      </c>
      <c r="S141" s="323">
        <v>15.401999999999999</v>
      </c>
      <c r="T141" s="22">
        <f>'Админ. расх.'!AS8</f>
        <v>15.86</v>
      </c>
      <c r="U141" s="22">
        <f t="shared" ref="U141:U146" si="20">Q141*$U$2</f>
        <v>0</v>
      </c>
      <c r="V141" s="22">
        <f t="shared" ref="V141:V147" si="21">S141*$V$3</f>
        <v>15.86406</v>
      </c>
      <c r="W141" s="22">
        <f t="shared" ref="W141:W147" si="22">V141*$W$3</f>
        <v>16.3399818</v>
      </c>
      <c r="X141" s="22">
        <f t="shared" ref="X141:X147" si="23">U141*$X$1</f>
        <v>0</v>
      </c>
      <c r="Y141" s="22">
        <f t="shared" ref="Y141:Y147" si="24">W141*$Y$3</f>
        <v>16.830181253999999</v>
      </c>
      <c r="Z141" s="22">
        <f t="shared" ref="Z141:Z147" si="25">X141*$Z$1</f>
        <v>0</v>
      </c>
      <c r="AA141" s="22">
        <f t="shared" ref="AA141:AA147" si="26">Y141*$AA$3</f>
        <v>17.335086691619999</v>
      </c>
      <c r="AB141" s="56"/>
      <c r="AC141" s="131">
        <v>1.2166529024000001</v>
      </c>
    </row>
    <row r="142" spans="2:29">
      <c r="B142" s="19"/>
      <c r="C142" s="14" t="s">
        <v>232</v>
      </c>
      <c r="D142" s="48" t="s">
        <v>233</v>
      </c>
      <c r="E142" s="16" t="s">
        <v>22</v>
      </c>
      <c r="F142" s="22">
        <v>408.00000000000006</v>
      </c>
      <c r="G142" s="22">
        <v>425.00000000000006</v>
      </c>
      <c r="H142" s="22">
        <v>514.54</v>
      </c>
      <c r="I142" s="22">
        <v>459.00000000000006</v>
      </c>
      <c r="J142" s="22">
        <v>529.7693544</v>
      </c>
      <c r="K142" s="22">
        <v>679.33699999999999</v>
      </c>
      <c r="L142" s="22">
        <v>543.87711230767206</v>
      </c>
      <c r="M142" s="22">
        <v>543.87711230767206</v>
      </c>
      <c r="N142" s="22">
        <f>'Админ. расх.'!AG9</f>
        <v>0</v>
      </c>
      <c r="O142" s="22">
        <f t="shared" si="19"/>
        <v>-543.87711230767206</v>
      </c>
      <c r="P142" s="22">
        <v>565.63219679997894</v>
      </c>
      <c r="Q142" s="23">
        <v>0</v>
      </c>
      <c r="R142" s="23">
        <f>'Админ. расх.'!AJ9</f>
        <v>0</v>
      </c>
      <c r="S142" s="323"/>
      <c r="T142" s="22">
        <f>'Админ. расх.'!AS9</f>
        <v>0</v>
      </c>
      <c r="U142" s="22">
        <f t="shared" si="20"/>
        <v>0</v>
      </c>
      <c r="V142" s="22">
        <f t="shared" si="21"/>
        <v>0</v>
      </c>
      <c r="W142" s="22">
        <f t="shared" si="22"/>
        <v>0</v>
      </c>
      <c r="X142" s="22">
        <f t="shared" si="23"/>
        <v>0</v>
      </c>
      <c r="Y142" s="22">
        <f t="shared" si="24"/>
        <v>0</v>
      </c>
      <c r="Z142" s="22">
        <f t="shared" si="25"/>
        <v>0</v>
      </c>
      <c r="AA142" s="22">
        <f t="shared" si="26"/>
        <v>0</v>
      </c>
      <c r="AB142" s="22"/>
      <c r="AC142" s="128">
        <v>1.2166529024000001</v>
      </c>
    </row>
    <row r="143" spans="2:29">
      <c r="B143" s="19"/>
      <c r="C143" s="14" t="s">
        <v>234</v>
      </c>
      <c r="D143" s="48" t="s">
        <v>235</v>
      </c>
      <c r="E143" s="16" t="s">
        <v>22</v>
      </c>
      <c r="F143" s="22">
        <v>0</v>
      </c>
      <c r="G143" s="22">
        <v>0</v>
      </c>
      <c r="H143" s="22">
        <v>187.15</v>
      </c>
      <c r="I143" s="22">
        <v>303.33780000000002</v>
      </c>
      <c r="J143" s="22">
        <v>192.68922816000006</v>
      </c>
      <c r="K143" s="22">
        <v>121.8322</v>
      </c>
      <c r="L143" s="22">
        <v>197.82054230590083</v>
      </c>
      <c r="M143" s="22">
        <v>203.14320000000001</v>
      </c>
      <c r="N143" s="22">
        <f>'Админ. расх.'!AG10</f>
        <v>145.20297869999996</v>
      </c>
      <c r="O143" s="22">
        <f t="shared" si="19"/>
        <v>-52.61756360590087</v>
      </c>
      <c r="P143" s="22">
        <v>211.26892800000005</v>
      </c>
      <c r="Q143" s="23">
        <v>130.87726619240001</v>
      </c>
      <c r="R143" s="23">
        <f>'Админ. расх.'!AJ10</f>
        <v>130.88</v>
      </c>
      <c r="S143" s="323">
        <v>442.07799999999997</v>
      </c>
      <c r="T143" s="22">
        <f>'Админ. расх.'!AS10</f>
        <v>455.34</v>
      </c>
      <c r="U143" s="22">
        <f t="shared" si="20"/>
        <v>133.97905740115991</v>
      </c>
      <c r="V143" s="22">
        <f t="shared" si="21"/>
        <v>455.34033999999997</v>
      </c>
      <c r="W143" s="22">
        <f t="shared" si="22"/>
        <v>469.00055019999996</v>
      </c>
      <c r="X143" s="22">
        <f t="shared" si="23"/>
        <v>137.14833200398434</v>
      </c>
      <c r="Y143" s="22">
        <f t="shared" si="24"/>
        <v>483.07056670599997</v>
      </c>
      <c r="Z143" s="22">
        <f t="shared" si="25"/>
        <v>145.1767228194511</v>
      </c>
      <c r="AA143" s="22">
        <f t="shared" si="26"/>
        <v>497.56268370717999</v>
      </c>
      <c r="AB143" s="22"/>
      <c r="AC143" s="128">
        <v>1.2493887692443726</v>
      </c>
    </row>
    <row r="144" spans="2:29" ht="21">
      <c r="B144" s="19"/>
      <c r="C144" s="14" t="s">
        <v>236</v>
      </c>
      <c r="D144" s="48" t="s">
        <v>237</v>
      </c>
      <c r="E144" s="16" t="s">
        <v>22</v>
      </c>
      <c r="F144" s="22">
        <v>249.9</v>
      </c>
      <c r="G144" s="22">
        <v>162.97900000000001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f>'Админ. расх.'!AG11</f>
        <v>0</v>
      </c>
      <c r="O144" s="22">
        <f t="shared" si="19"/>
        <v>0</v>
      </c>
      <c r="P144" s="22">
        <v>0</v>
      </c>
      <c r="Q144" s="23">
        <v>0</v>
      </c>
      <c r="R144" s="23">
        <f>'Админ. расх.'!AJ11</f>
        <v>0</v>
      </c>
      <c r="S144" s="323"/>
      <c r="T144" s="22">
        <f>'Админ. расх.'!AS11</f>
        <v>0</v>
      </c>
      <c r="U144" s="22">
        <f t="shared" si="20"/>
        <v>0</v>
      </c>
      <c r="V144" s="22">
        <f t="shared" si="21"/>
        <v>0</v>
      </c>
      <c r="W144" s="22">
        <f t="shared" si="22"/>
        <v>0</v>
      </c>
      <c r="X144" s="22">
        <f t="shared" si="23"/>
        <v>0</v>
      </c>
      <c r="Y144" s="22">
        <f t="shared" si="24"/>
        <v>0</v>
      </c>
      <c r="Z144" s="22">
        <f t="shared" si="25"/>
        <v>0</v>
      </c>
      <c r="AA144" s="22">
        <f t="shared" si="26"/>
        <v>0</v>
      </c>
      <c r="AB144" s="22"/>
      <c r="AC144" s="128" t="e">
        <v>#DIV/0!</v>
      </c>
    </row>
    <row r="145" spans="2:51">
      <c r="B145" s="19"/>
      <c r="C145" s="14" t="s">
        <v>238</v>
      </c>
      <c r="D145" s="48" t="s">
        <v>239</v>
      </c>
      <c r="E145" s="16" t="s">
        <v>22</v>
      </c>
      <c r="F145" s="22">
        <v>525.49720000000002</v>
      </c>
      <c r="G145" s="22">
        <v>743.71600000000012</v>
      </c>
      <c r="H145" s="22">
        <v>505.13</v>
      </c>
      <c r="I145" s="22">
        <v>663.91800000000001</v>
      </c>
      <c r="J145" s="22">
        <v>520.08658416000014</v>
      </c>
      <c r="K145" s="22">
        <v>862.52526000000023</v>
      </c>
      <c r="L145" s="22">
        <v>533.93648989618089</v>
      </c>
      <c r="M145" s="22">
        <v>396.12720000000002</v>
      </c>
      <c r="N145" s="22">
        <f>'Админ. расх.'!AG12</f>
        <v>1097.4088710000001</v>
      </c>
      <c r="O145" s="22">
        <f t="shared" si="19"/>
        <v>563.4723811038192</v>
      </c>
      <c r="P145" s="22">
        <v>411.97228799999999</v>
      </c>
      <c r="Q145" s="23">
        <v>411.97228799999999</v>
      </c>
      <c r="R145" s="23">
        <f>'Админ. расх.'!AJ12</f>
        <v>411.97</v>
      </c>
      <c r="S145" s="323">
        <f>442.078+258.747+6.804+3015.718</f>
        <v>3723.3469999999998</v>
      </c>
      <c r="T145" s="22">
        <f>'Админ. расх.'!AS12</f>
        <v>3835.05</v>
      </c>
      <c r="U145" s="22">
        <f t="shared" si="20"/>
        <v>421.73603122560002</v>
      </c>
      <c r="V145" s="22">
        <f t="shared" si="21"/>
        <v>3835.0474099999997</v>
      </c>
      <c r="W145" s="22">
        <f t="shared" si="22"/>
        <v>3950.0988322999997</v>
      </c>
      <c r="X145" s="22">
        <f t="shared" si="23"/>
        <v>431.71219704424158</v>
      </c>
      <c r="Y145" s="22">
        <f t="shared" si="24"/>
        <v>4068.6017972689997</v>
      </c>
      <c r="Z145" s="22">
        <f t="shared" si="25"/>
        <v>456.98377116425547</v>
      </c>
      <c r="AA145" s="22">
        <f t="shared" si="26"/>
        <v>4190.6598511870698</v>
      </c>
      <c r="AB145" s="22"/>
      <c r="AC145" s="128">
        <v>0.90263414604477787</v>
      </c>
    </row>
    <row r="146" spans="2:51">
      <c r="B146" s="19"/>
      <c r="C146" s="14" t="s">
        <v>240</v>
      </c>
      <c r="D146" s="39" t="s">
        <v>530</v>
      </c>
      <c r="E146" s="16"/>
      <c r="F146" s="22"/>
      <c r="G146" s="22"/>
      <c r="H146" s="22">
        <v>442</v>
      </c>
      <c r="I146" s="22">
        <v>509.86060000000003</v>
      </c>
      <c r="J146" s="22">
        <v>455.08320000000003</v>
      </c>
      <c r="K146" s="22">
        <v>0</v>
      </c>
      <c r="L146" s="22">
        <v>467.20206561600003</v>
      </c>
      <c r="M146" s="22">
        <v>44.145600000000002</v>
      </c>
      <c r="N146" s="22">
        <f>'Админ. расх.'!AG13</f>
        <v>119.13992999999999</v>
      </c>
      <c r="O146" s="22">
        <f t="shared" si="19"/>
        <v>-348.06213561600003</v>
      </c>
      <c r="P146" s="22">
        <v>45.911424000000004</v>
      </c>
      <c r="Q146" s="23">
        <v>45.911424000000004</v>
      </c>
      <c r="R146" s="23">
        <f>'Админ. расх.'!AJ13</f>
        <v>45.91</v>
      </c>
      <c r="S146" s="323">
        <f>7.113+153.01</f>
        <v>160.12299999999999</v>
      </c>
      <c r="T146" s="22">
        <f>'Админ. расх.'!AS13</f>
        <v>164.93</v>
      </c>
      <c r="U146" s="22">
        <f t="shared" si="20"/>
        <v>46.999524748800006</v>
      </c>
      <c r="V146" s="22">
        <f t="shared" si="21"/>
        <v>164.92669000000001</v>
      </c>
      <c r="W146" s="22">
        <f t="shared" si="22"/>
        <v>169.87449070000002</v>
      </c>
      <c r="X146" s="22">
        <f t="shared" si="23"/>
        <v>48.111298506732872</v>
      </c>
      <c r="Y146" s="22">
        <f t="shared" si="24"/>
        <v>174.97072542100003</v>
      </c>
      <c r="Z146" s="22">
        <f t="shared" si="25"/>
        <v>50.92763831493712</v>
      </c>
      <c r="AA146" s="22">
        <f t="shared" si="26"/>
        <v>180.21984718363004</v>
      </c>
      <c r="AB146" s="22"/>
      <c r="AC146" s="128">
        <v>0.1149606911462895</v>
      </c>
    </row>
    <row r="147" spans="2:51">
      <c r="B147" s="19"/>
      <c r="C147" s="14" t="s">
        <v>242</v>
      </c>
      <c r="D147" s="39" t="s">
        <v>243</v>
      </c>
      <c r="E147" s="16"/>
      <c r="F147" s="22"/>
      <c r="G147" s="22"/>
      <c r="H147" s="22">
        <v>269.42</v>
      </c>
      <c r="I147" s="22">
        <v>185.2354</v>
      </c>
      <c r="J147" s="22">
        <v>277.11071360000005</v>
      </c>
      <c r="K147" s="22">
        <v>261.63</v>
      </c>
      <c r="L147" s="22">
        <v>284.777628303168</v>
      </c>
      <c r="M147" s="22">
        <v>263.43200000000002</v>
      </c>
      <c r="N147" s="22">
        <f>'Админ. расх.'!AG14</f>
        <v>433.99394999999998</v>
      </c>
      <c r="O147" s="22">
        <f t="shared" si="19"/>
        <v>149.21632169683198</v>
      </c>
      <c r="P147" s="22">
        <v>273.96928000000003</v>
      </c>
      <c r="Q147" s="23">
        <v>273.96928000000003</v>
      </c>
      <c r="R147" s="23">
        <f>'Админ. расх.'!AJ14</f>
        <v>273.97000000000003</v>
      </c>
      <c r="S147" s="323">
        <f>412.067</f>
        <v>412.06700000000001</v>
      </c>
      <c r="T147" s="22">
        <f>'Админ. расх.'!AS14</f>
        <v>424.43</v>
      </c>
      <c r="U147" s="22">
        <f>Q147*$U$2+0.45</f>
        <v>280.91235193600005</v>
      </c>
      <c r="V147" s="22">
        <f t="shared" si="21"/>
        <v>424.42901000000001</v>
      </c>
      <c r="W147" s="22">
        <f t="shared" si="22"/>
        <v>437.16188030000001</v>
      </c>
      <c r="X147" s="22">
        <f t="shared" si="23"/>
        <v>287.5573336210461</v>
      </c>
      <c r="Y147" s="22">
        <f t="shared" si="24"/>
        <v>450.27673670900003</v>
      </c>
      <c r="Z147" s="22">
        <f t="shared" si="25"/>
        <v>304.39036849963469</v>
      </c>
      <c r="AA147" s="22">
        <f t="shared" si="26"/>
        <v>463.78503881027007</v>
      </c>
      <c r="AB147" s="22"/>
      <c r="AC147" s="128">
        <v>1.1254581664112813</v>
      </c>
    </row>
    <row r="148" spans="2:51" ht="52.5">
      <c r="B148" s="19"/>
      <c r="C148" s="14" t="s">
        <v>244</v>
      </c>
      <c r="D148" s="15" t="s">
        <v>245</v>
      </c>
      <c r="E148" s="16" t="s">
        <v>22</v>
      </c>
      <c r="F148" s="17">
        <v>18038.185744723203</v>
      </c>
      <c r="G148" s="17">
        <v>17200.8493356</v>
      </c>
      <c r="H148" s="17">
        <v>19092.218560000001</v>
      </c>
      <c r="I148" s="17">
        <v>17032.099979999999</v>
      </c>
      <c r="J148" s="17">
        <v>19389.288950583559</v>
      </c>
      <c r="K148" s="17">
        <v>21686.800025199998</v>
      </c>
      <c r="L148" s="17">
        <v>19905.625715337592</v>
      </c>
      <c r="M148" s="17">
        <v>22908.306265498082</v>
      </c>
      <c r="N148" s="17">
        <f>N149+N160</f>
        <v>27109.728999999999</v>
      </c>
      <c r="O148" s="22">
        <f t="shared" si="19"/>
        <v>7204.1032846624075</v>
      </c>
      <c r="P148" s="17">
        <f>P149+P160</f>
        <v>23824.638516118008</v>
      </c>
      <c r="Q148" s="18">
        <v>23824.638516118008</v>
      </c>
      <c r="R148" s="17">
        <f t="shared" ref="R148:Z148" si="27">R149+R160</f>
        <v>23824.633980000002</v>
      </c>
      <c r="S148" s="17">
        <f t="shared" si="27"/>
        <v>34941.692999999999</v>
      </c>
      <c r="T148" s="17">
        <f t="shared" si="27"/>
        <v>36851.417399999998</v>
      </c>
      <c r="U148" s="17">
        <f t="shared" si="27"/>
        <v>24389.281045418516</v>
      </c>
      <c r="V148" s="17">
        <f t="shared" si="27"/>
        <v>36851.422608000001</v>
      </c>
      <c r="W148" s="17">
        <f t="shared" si="27"/>
        <v>38325.479512319995</v>
      </c>
      <c r="X148" s="17">
        <f t="shared" si="27"/>
        <v>24966.209488547891</v>
      </c>
      <c r="Y148" s="17">
        <f>Y149+Y160</f>
        <v>39858.498692812791</v>
      </c>
      <c r="Z148" s="17">
        <f t="shared" si="27"/>
        <v>26427.681779359664</v>
      </c>
      <c r="AA148" s="17">
        <f>AA149+AA160</f>
        <v>41452.838640525304</v>
      </c>
      <c r="AB148" s="17">
        <v>0</v>
      </c>
      <c r="AC148" s="128">
        <v>1.4001799142395692</v>
      </c>
    </row>
    <row r="149" spans="2:51" ht="31.5">
      <c r="B149" s="19"/>
      <c r="C149" s="14" t="s">
        <v>246</v>
      </c>
      <c r="D149" s="48" t="s">
        <v>247</v>
      </c>
      <c r="E149" s="16" t="s">
        <v>22</v>
      </c>
      <c r="F149" s="22">
        <v>13854.213321600002</v>
      </c>
      <c r="G149" s="22">
        <v>13211.0978</v>
      </c>
      <c r="H149" s="22">
        <v>14463.798560000001</v>
      </c>
      <c r="I149" s="22">
        <v>13081.49</v>
      </c>
      <c r="J149" s="22">
        <v>14891.926997376007</v>
      </c>
      <c r="K149" s="22">
        <v>16626.22752</v>
      </c>
      <c r="L149" s="22">
        <v>15288.499013316125</v>
      </c>
      <c r="M149" s="22">
        <v>17594.705273040003</v>
      </c>
      <c r="N149" s="22">
        <v>21080.07</v>
      </c>
      <c r="O149" s="22">
        <f t="shared" si="19"/>
        <v>5791.5709866838752</v>
      </c>
      <c r="P149" s="22">
        <v>18298.493483961603</v>
      </c>
      <c r="Q149" s="23">
        <v>18298.493483961603</v>
      </c>
      <c r="R149" s="22">
        <f>'Админ. расх.'!AJ16</f>
        <v>18298.490000000002</v>
      </c>
      <c r="S149" s="22">
        <v>27215.1</v>
      </c>
      <c r="T149" s="22">
        <f>'Админ. расх.'!AS16</f>
        <v>28303.7</v>
      </c>
      <c r="U149" s="22">
        <f>U150*U151*12/1000-0.01</f>
        <v>18732.166376000005</v>
      </c>
      <c r="V149" s="22">
        <f>V151*V150*12/1000</f>
        <v>28303.704000000002</v>
      </c>
      <c r="W149" s="22">
        <f>W150*W151*12/1000</f>
        <v>29435.852159999995</v>
      </c>
      <c r="X149" s="22">
        <f>U149*X1</f>
        <v>19175.275771624285</v>
      </c>
      <c r="Y149" s="22">
        <f>Y150*Y151*12/1000</f>
        <v>30613.286246399995</v>
      </c>
      <c r="Z149" s="22">
        <f>X149*Z1</f>
        <v>20297.75831034359</v>
      </c>
      <c r="AA149" s="22">
        <f>AA150*AA151*12/1000</f>
        <v>31837.817696255996</v>
      </c>
      <c r="AB149" s="22"/>
      <c r="AC149" s="128">
        <v>1.4001799142395692</v>
      </c>
    </row>
    <row r="150" spans="2:51" ht="31.5">
      <c r="B150" s="19"/>
      <c r="C150" s="28" t="s">
        <v>248</v>
      </c>
      <c r="D150" s="39" t="s">
        <v>149</v>
      </c>
      <c r="E150" s="16" t="s">
        <v>31</v>
      </c>
      <c r="F150" s="22">
        <v>23.12</v>
      </c>
      <c r="G150" s="22">
        <v>23.46</v>
      </c>
      <c r="H150" s="22">
        <v>24</v>
      </c>
      <c r="I150" s="22">
        <v>24</v>
      </c>
      <c r="J150" s="22">
        <v>23.12</v>
      </c>
      <c r="K150" s="22">
        <v>23.12</v>
      </c>
      <c r="L150" s="22">
        <v>23.12</v>
      </c>
      <c r="M150" s="22">
        <v>28.220000000000002</v>
      </c>
      <c r="N150" s="22">
        <v>31.62</v>
      </c>
      <c r="O150" s="22">
        <f t="shared" si="19"/>
        <v>8.5</v>
      </c>
      <c r="P150" s="22">
        <v>28.220000000000002</v>
      </c>
      <c r="Q150" s="23">
        <v>28.220000000000002</v>
      </c>
      <c r="R150" s="22">
        <f>'Админ. расх.'!AJ18</f>
        <v>28.22</v>
      </c>
      <c r="S150" s="22">
        <v>36.85</v>
      </c>
      <c r="T150" s="22">
        <v>39</v>
      </c>
      <c r="U150" s="22">
        <f>Q150</f>
        <v>28.220000000000002</v>
      </c>
      <c r="V150" s="22">
        <v>36.85</v>
      </c>
      <c r="W150" s="22">
        <v>36.85</v>
      </c>
      <c r="X150" s="22">
        <v>28.22</v>
      </c>
      <c r="Y150" s="22">
        <v>36.85</v>
      </c>
      <c r="Z150" s="22">
        <f>X150</f>
        <v>28.22</v>
      </c>
      <c r="AA150" s="22">
        <v>36.85</v>
      </c>
      <c r="AB150" s="22"/>
      <c r="AC150" s="128">
        <v>1.2205882352941178</v>
      </c>
    </row>
    <row r="151" spans="2:51" ht="31.5">
      <c r="B151" s="19"/>
      <c r="C151" s="28" t="s">
        <v>249</v>
      </c>
      <c r="D151" s="29" t="s">
        <v>250</v>
      </c>
      <c r="E151" s="16" t="s">
        <v>152</v>
      </c>
      <c r="F151" s="17">
        <v>49935.890000000007</v>
      </c>
      <c r="G151" s="17">
        <v>46927.741545893718</v>
      </c>
      <c r="H151" s="17">
        <v>50221.522777777776</v>
      </c>
      <c r="I151" s="17">
        <v>45421.840277777781</v>
      </c>
      <c r="J151" s="17">
        <v>53676.207458823548</v>
      </c>
      <c r="K151" s="17">
        <v>59927.290657439444</v>
      </c>
      <c r="L151" s="17">
        <v>55105.604863452005</v>
      </c>
      <c r="M151" s="17">
        <v>51956.96100000001</v>
      </c>
      <c r="N151" s="17">
        <f>'Админ. расх.'!AE19</f>
        <v>54856.614035087725</v>
      </c>
      <c r="O151" s="22">
        <f t="shared" si="19"/>
        <v>-248.99082836427988</v>
      </c>
      <c r="P151" s="17">
        <v>54035.239440000005</v>
      </c>
      <c r="Q151" s="18">
        <v>54035.239440000005</v>
      </c>
      <c r="R151" s="17">
        <f>'Админ. расх.'!AH19</f>
        <v>57050.878596491239</v>
      </c>
      <c r="S151" s="17">
        <f>S149/S150/12*1000</f>
        <v>61544.776119402974</v>
      </c>
      <c r="T151" s="17">
        <f>'Админ. расх.'!AQ19</f>
        <v>0</v>
      </c>
      <c r="U151" s="17">
        <v>55315.9</v>
      </c>
      <c r="V151" s="17">
        <f>S151*1.04</f>
        <v>64006.567164179098</v>
      </c>
      <c r="W151" s="17">
        <f>V151*1.04</f>
        <v>66566.82985074626</v>
      </c>
      <c r="X151" s="17">
        <f>X149/X150/12*1000</f>
        <v>56624.367386086364</v>
      </c>
      <c r="Y151" s="17">
        <f>W151*1.04</f>
        <v>69229.503044776109</v>
      </c>
      <c r="Z151" s="17">
        <v>0</v>
      </c>
      <c r="AA151" s="17">
        <f>Y151*1.04</f>
        <v>71998.683166567149</v>
      </c>
      <c r="AB151" s="17">
        <v>0</v>
      </c>
      <c r="AC151" s="128">
        <v>1.1471353514251892</v>
      </c>
    </row>
    <row r="152" spans="2:51" ht="52.5">
      <c r="B152" s="19"/>
      <c r="C152" s="28" t="s">
        <v>251</v>
      </c>
      <c r="D152" s="29" t="s">
        <v>252</v>
      </c>
      <c r="E152" s="16" t="s">
        <v>31</v>
      </c>
      <c r="F152" s="22">
        <v>23</v>
      </c>
      <c r="G152" s="22">
        <v>23</v>
      </c>
      <c r="H152" s="22">
        <v>24</v>
      </c>
      <c r="I152" s="22">
        <v>24</v>
      </c>
      <c r="J152" s="22">
        <v>23</v>
      </c>
      <c r="K152" s="22">
        <v>23</v>
      </c>
      <c r="L152" s="22">
        <v>23</v>
      </c>
      <c r="M152" s="22">
        <v>28.220000000000002</v>
      </c>
      <c r="N152" s="22">
        <v>31.62</v>
      </c>
      <c r="O152" s="22">
        <f t="shared" si="19"/>
        <v>8.620000000000001</v>
      </c>
      <c r="P152" s="22">
        <v>28.220000000000002</v>
      </c>
      <c r="Q152" s="23">
        <v>28.220000000000002</v>
      </c>
      <c r="R152" s="22">
        <v>39</v>
      </c>
      <c r="S152" s="22">
        <v>36.85</v>
      </c>
      <c r="T152" s="22">
        <v>39</v>
      </c>
      <c r="U152" s="22">
        <v>0</v>
      </c>
      <c r="V152" s="22">
        <v>36.85</v>
      </c>
      <c r="W152" s="22">
        <v>36.85</v>
      </c>
      <c r="X152" s="22">
        <v>23.12</v>
      </c>
      <c r="Y152" s="22">
        <v>36.85</v>
      </c>
      <c r="Z152" s="22">
        <v>0</v>
      </c>
      <c r="AA152" s="22">
        <v>28.220000000000002</v>
      </c>
      <c r="AB152" s="22">
        <v>0</v>
      </c>
      <c r="AC152" s="128">
        <v>1.2269565217391305</v>
      </c>
    </row>
    <row r="153" spans="2:51" ht="52.5" hidden="1">
      <c r="B153" s="19"/>
      <c r="C153" s="28" t="s">
        <v>253</v>
      </c>
      <c r="D153" s="29" t="s">
        <v>254</v>
      </c>
      <c r="E153" s="16" t="s">
        <v>31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>
        <f t="shared" si="19"/>
        <v>0</v>
      </c>
      <c r="P153" s="22"/>
      <c r="Q153" s="23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128" t="e">
        <v>#DIV/0!</v>
      </c>
    </row>
    <row r="154" spans="2:51" ht="21" hidden="1">
      <c r="B154" s="19"/>
      <c r="C154" s="28" t="s">
        <v>255</v>
      </c>
      <c r="D154" s="29" t="s">
        <v>158</v>
      </c>
      <c r="E154" s="16" t="s">
        <v>152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>
        <f t="shared" si="19"/>
        <v>0</v>
      </c>
      <c r="P154" s="22"/>
      <c r="Q154" s="23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128" t="e">
        <v>#DIV/0!</v>
      </c>
    </row>
    <row r="155" spans="2:51" ht="21" hidden="1">
      <c r="B155" s="19"/>
      <c r="C155" s="28" t="s">
        <v>256</v>
      </c>
      <c r="D155" s="39" t="s">
        <v>160</v>
      </c>
      <c r="E155" s="16"/>
      <c r="F155" s="22"/>
      <c r="G155" s="22"/>
      <c r="H155" s="22"/>
      <c r="I155" s="22"/>
      <c r="J155" s="22"/>
      <c r="K155" s="22"/>
      <c r="L155" s="22"/>
      <c r="M155" s="22"/>
      <c r="N155" s="22"/>
      <c r="O155" s="22">
        <f t="shared" si="19"/>
        <v>0</v>
      </c>
      <c r="P155" s="22"/>
      <c r="Q155" s="23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128" t="e">
        <v>#DIV/0!</v>
      </c>
    </row>
    <row r="156" spans="2:51" ht="21" hidden="1">
      <c r="B156" s="19"/>
      <c r="C156" s="28" t="s">
        <v>257</v>
      </c>
      <c r="D156" s="29" t="s">
        <v>162</v>
      </c>
      <c r="E156" s="16" t="s">
        <v>152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>
        <f t="shared" si="19"/>
        <v>0</v>
      </c>
      <c r="P156" s="22"/>
      <c r="Q156" s="23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128" t="e">
        <v>#DIV/0!</v>
      </c>
    </row>
    <row r="157" spans="2:51" ht="21" hidden="1">
      <c r="B157" s="19"/>
      <c r="C157" s="28" t="s">
        <v>258</v>
      </c>
      <c r="D157" s="39" t="s">
        <v>164</v>
      </c>
      <c r="E157" s="16"/>
      <c r="F157" s="22"/>
      <c r="G157" s="22"/>
      <c r="H157" s="22"/>
      <c r="I157" s="22"/>
      <c r="J157" s="22"/>
      <c r="K157" s="22"/>
      <c r="L157" s="22"/>
      <c r="M157" s="22"/>
      <c r="N157" s="22"/>
      <c r="O157" s="22">
        <f t="shared" si="19"/>
        <v>0</v>
      </c>
      <c r="P157" s="22"/>
      <c r="Q157" s="23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128" t="e">
        <v>#DIV/0!</v>
      </c>
    </row>
    <row r="158" spans="2:51" ht="21" hidden="1">
      <c r="B158" s="19"/>
      <c r="C158" s="28" t="s">
        <v>259</v>
      </c>
      <c r="D158" s="39" t="s">
        <v>166</v>
      </c>
      <c r="E158" s="16" t="s">
        <v>152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>
        <f t="shared" si="19"/>
        <v>0</v>
      </c>
      <c r="P158" s="22"/>
      <c r="Q158" s="23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128" t="e">
        <v>#DIV/0!</v>
      </c>
    </row>
    <row r="159" spans="2:51" ht="31.5" hidden="1">
      <c r="B159" s="19"/>
      <c r="C159" s="28" t="s">
        <v>260</v>
      </c>
      <c r="D159" s="39" t="s">
        <v>168</v>
      </c>
      <c r="E159" s="16" t="s">
        <v>152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>
        <f t="shared" si="19"/>
        <v>0</v>
      </c>
      <c r="P159" s="22"/>
      <c r="Q159" s="23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>
        <v>8705</v>
      </c>
      <c r="AC159" s="128" t="e">
        <v>#DIV/0!</v>
      </c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</row>
    <row r="160" spans="2:51" ht="42">
      <c r="B160" s="19"/>
      <c r="C160" s="14" t="s">
        <v>261</v>
      </c>
      <c r="D160" s="40" t="s">
        <v>262</v>
      </c>
      <c r="E160" s="16" t="s">
        <v>22</v>
      </c>
      <c r="F160" s="22">
        <v>4183.9724231232003</v>
      </c>
      <c r="G160" s="22">
        <v>3989.7515355999999</v>
      </c>
      <c r="H160" s="22">
        <v>4628.42</v>
      </c>
      <c r="I160" s="22">
        <v>3950.6099799999997</v>
      </c>
      <c r="J160" s="22">
        <v>4497.3619532075527</v>
      </c>
      <c r="K160" s="22">
        <v>5060.5725051999998</v>
      </c>
      <c r="L160" s="22">
        <v>4617.1267020214691</v>
      </c>
      <c r="M160" s="22">
        <v>5313.6009924580803</v>
      </c>
      <c r="N160" s="22">
        <v>6029.6589999999997</v>
      </c>
      <c r="O160" s="22">
        <f t="shared" si="19"/>
        <v>1412.5322979785306</v>
      </c>
      <c r="P160" s="22">
        <v>5526.1450321564043</v>
      </c>
      <c r="Q160" s="23">
        <v>5526.1450321564043</v>
      </c>
      <c r="R160" s="22">
        <f>'Админ. расх.'!AJ35</f>
        <v>5526.1439800000007</v>
      </c>
      <c r="S160" s="323">
        <v>7726.5929999999998</v>
      </c>
      <c r="T160" s="22">
        <f>'Админ. расх.'!AS35</f>
        <v>8547.7173999999995</v>
      </c>
      <c r="U160" s="22">
        <f>Q160*U2</f>
        <v>5657.1146694185118</v>
      </c>
      <c r="V160" s="22">
        <f>V149*0.302</f>
        <v>8547.718608000001</v>
      </c>
      <c r="W160" s="22">
        <f>W149*0.302</f>
        <v>8889.627352319998</v>
      </c>
      <c r="X160" s="22">
        <f>U160*X1</f>
        <v>5790.9337169236069</v>
      </c>
      <c r="Y160" s="22">
        <f>Y149*0.302</f>
        <v>9245.2124464127992</v>
      </c>
      <c r="Z160" s="22">
        <f>X160*Z1</f>
        <v>6129.9234690160756</v>
      </c>
      <c r="AA160" s="22">
        <f>AA149*0.302</f>
        <v>9615.0209442693103</v>
      </c>
      <c r="AB160" s="22"/>
      <c r="AC160" s="128">
        <v>1.4001799142395692</v>
      </c>
    </row>
    <row r="161" spans="2:30" ht="84">
      <c r="B161" s="19"/>
      <c r="C161" s="14" t="s">
        <v>263</v>
      </c>
      <c r="D161" s="15" t="s">
        <v>1375</v>
      </c>
      <c r="E161" s="16" t="s">
        <v>22</v>
      </c>
      <c r="F161" s="22">
        <v>3.9270000000000005</v>
      </c>
      <c r="G161" s="22">
        <v>13.430000000000001</v>
      </c>
      <c r="H161" s="22">
        <v>4.0936000000000003</v>
      </c>
      <c r="I161" s="22">
        <v>10.44</v>
      </c>
      <c r="J161" s="22">
        <v>4.2147705599999998</v>
      </c>
      <c r="K161" s="22">
        <v>0</v>
      </c>
      <c r="L161" s="22">
        <v>4.3270099000127997</v>
      </c>
      <c r="M161" s="22">
        <v>0</v>
      </c>
      <c r="N161" s="22">
        <f>'Админ. расх.'!AG38</f>
        <v>177.467004</v>
      </c>
      <c r="O161" s="22">
        <f t="shared" si="19"/>
        <v>173.13999409998721</v>
      </c>
      <c r="P161" s="22">
        <v>0</v>
      </c>
      <c r="Q161" s="23"/>
      <c r="R161" s="23">
        <f>'Админ. расх.'!AJ38</f>
        <v>0</v>
      </c>
      <c r="S161" s="323">
        <v>20.29</v>
      </c>
      <c r="T161" s="22">
        <f>'Админ. расх.'!AS38</f>
        <v>20.9</v>
      </c>
      <c r="U161" s="22">
        <f>Q161*$U$2</f>
        <v>0</v>
      </c>
      <c r="V161" s="22">
        <f>S161*$V$3</f>
        <v>20.898699999999998</v>
      </c>
      <c r="W161" s="22">
        <f>V161*$W$3</f>
        <v>21.525660999999999</v>
      </c>
      <c r="X161" s="22">
        <f>U161*$X$1</f>
        <v>0</v>
      </c>
      <c r="Y161" s="22">
        <f>'Админ. расх.'!AY38</f>
        <v>0</v>
      </c>
      <c r="Z161" s="22"/>
      <c r="AA161" s="22">
        <v>0</v>
      </c>
      <c r="AB161" s="22"/>
      <c r="AC161" s="128">
        <v>0</v>
      </c>
    </row>
    <row r="162" spans="2:30">
      <c r="B162" s="19"/>
      <c r="C162" s="14" t="s">
        <v>264</v>
      </c>
      <c r="D162" s="15" t="s">
        <v>265</v>
      </c>
      <c r="E162" s="16" t="s">
        <v>22</v>
      </c>
      <c r="F162" s="22">
        <v>179.35000000000002</v>
      </c>
      <c r="G162" s="22">
        <v>358.42800000000005</v>
      </c>
      <c r="H162" s="22">
        <v>184.18820000000002</v>
      </c>
      <c r="I162" s="22">
        <v>497.14800000000002</v>
      </c>
      <c r="J162" s="22">
        <v>189.64017072000001</v>
      </c>
      <c r="K162" s="22">
        <v>184.61524</v>
      </c>
      <c r="L162" s="22">
        <v>194.69028846627361</v>
      </c>
      <c r="M162" s="22">
        <v>195.30960000000005</v>
      </c>
      <c r="N162" s="22">
        <f>'Админ. расх.'!AG39</f>
        <v>771.38848800000017</v>
      </c>
      <c r="O162" s="22">
        <f t="shared" si="19"/>
        <v>576.69819953372655</v>
      </c>
      <c r="P162" s="22">
        <v>203.12198400000005</v>
      </c>
      <c r="Q162" s="23">
        <v>0</v>
      </c>
      <c r="R162" s="23">
        <f>'Админ. расх.'!AJ39</f>
        <v>0</v>
      </c>
      <c r="S162" s="323">
        <f>1275.903+164.806</f>
        <v>1440.7090000000001</v>
      </c>
      <c r="T162" s="22">
        <f>'Админ. расх.'!AS39</f>
        <v>1483.93</v>
      </c>
      <c r="U162" s="22">
        <f t="shared" ref="U162:U173" si="28">Q162*$U$2</f>
        <v>0</v>
      </c>
      <c r="V162" s="22">
        <f t="shared" ref="V162:V172" si="29">S162*$V$3</f>
        <v>1483.9302700000001</v>
      </c>
      <c r="W162" s="22">
        <f t="shared" ref="W162:W170" si="30">V162*$W$3</f>
        <v>1528.4481781000002</v>
      </c>
      <c r="X162" s="22">
        <f t="shared" ref="X162:X173" si="31">U162*$X$1</f>
        <v>0</v>
      </c>
      <c r="Y162" s="22">
        <f>W162*$Y$3</f>
        <v>1574.3016234430002</v>
      </c>
      <c r="Z162" s="22">
        <f>X162*$Z$1</f>
        <v>0</v>
      </c>
      <c r="AA162" s="22">
        <f>Y162*$AA$3</f>
        <v>1621.5306721462903</v>
      </c>
      <c r="AB162" s="22"/>
      <c r="AC162" s="128">
        <v>1.2205230860693237</v>
      </c>
    </row>
    <row r="163" spans="2:30">
      <c r="B163" s="19"/>
      <c r="C163" s="14" t="s">
        <v>266</v>
      </c>
      <c r="D163" s="15" t="s">
        <v>267</v>
      </c>
      <c r="E163" s="16" t="s">
        <v>22</v>
      </c>
      <c r="F163" s="22">
        <v>552.4</v>
      </c>
      <c r="G163" s="22">
        <v>396.78000000000003</v>
      </c>
      <c r="H163" s="22">
        <v>192.69840000000002</v>
      </c>
      <c r="I163" s="22">
        <v>529.76</v>
      </c>
      <c r="J163" s="22">
        <v>198.40227264000004</v>
      </c>
      <c r="K163" s="22">
        <v>31.722000000000001</v>
      </c>
      <c r="L163" s="22">
        <v>203.68572516040319</v>
      </c>
      <c r="M163" s="22">
        <v>307.42800000000005</v>
      </c>
      <c r="N163" s="22">
        <f>'Админ. расх.'!AG40</f>
        <v>398.32568100000003</v>
      </c>
      <c r="O163" s="22">
        <f t="shared" si="19"/>
        <v>194.63995583959684</v>
      </c>
      <c r="P163" s="22">
        <v>319.72512000000006</v>
      </c>
      <c r="Q163" s="23">
        <v>34.077104723999994</v>
      </c>
      <c r="R163" s="23">
        <f>'Админ. расх.'!AJ40</f>
        <v>34.08</v>
      </c>
      <c r="S163" s="323">
        <f>298.167</f>
        <v>298.16699999999997</v>
      </c>
      <c r="T163" s="22">
        <f>'Админ. расх.'!AS40</f>
        <v>307.11</v>
      </c>
      <c r="U163" s="22">
        <f t="shared" si="28"/>
        <v>34.884732105958797</v>
      </c>
      <c r="V163" s="22">
        <f t="shared" si="29"/>
        <v>307.11201</v>
      </c>
      <c r="W163" s="22">
        <f t="shared" si="30"/>
        <v>316.32537030000003</v>
      </c>
      <c r="X163" s="22">
        <f t="shared" si="31"/>
        <v>35.709930443925252</v>
      </c>
      <c r="Y163" s="22">
        <f t="shared" ref="Y163:Y169" si="32">W163*$Y$3</f>
        <v>325.81513140900006</v>
      </c>
      <c r="Z163" s="22">
        <f t="shared" ref="Z163:Z173" si="33">X163*$Z$1</f>
        <v>37.800318809630184</v>
      </c>
      <c r="AA163" s="22">
        <f t="shared" ref="AA163:AA172" si="34">Y163*$AA$3</f>
        <v>335.58958535127005</v>
      </c>
      <c r="AB163" s="22"/>
      <c r="AC163" s="128">
        <v>1.8363248979989879</v>
      </c>
    </row>
    <row r="164" spans="2:30" ht="17.25" customHeight="1">
      <c r="B164" s="19"/>
      <c r="C164" s="14" t="s">
        <v>268</v>
      </c>
      <c r="D164" s="15" t="s">
        <v>269</v>
      </c>
      <c r="E164" s="16" t="s">
        <v>22</v>
      </c>
      <c r="F164" s="22">
        <v>45.900000000000006</v>
      </c>
      <c r="G164" s="22">
        <v>32.776000000000003</v>
      </c>
      <c r="H164" s="22">
        <v>35.39</v>
      </c>
      <c r="I164" s="22">
        <v>56.511400000000009</v>
      </c>
      <c r="J164" s="22">
        <v>36.721713600000008</v>
      </c>
      <c r="K164" s="22">
        <v>157.43900000000002</v>
      </c>
      <c r="L164" s="22">
        <v>37.409999999999997</v>
      </c>
      <c r="M164" s="22">
        <v>38.147999999999996</v>
      </c>
      <c r="N164" s="22">
        <f>'Админ. расх.'!AG41</f>
        <v>28.740230999999998</v>
      </c>
      <c r="O164" s="22">
        <f t="shared" si="19"/>
        <v>-8.6697689999999987</v>
      </c>
      <c r="P164" s="22">
        <v>39.673919999999995</v>
      </c>
      <c r="Q164" s="23">
        <v>39.673919999999995</v>
      </c>
      <c r="R164" s="23">
        <f>'Админ. расх.'!AJ41</f>
        <v>39.67</v>
      </c>
      <c r="S164" s="323">
        <f>263.103+58.116</f>
        <v>321.21899999999999</v>
      </c>
      <c r="T164" s="22">
        <f>'Админ. расх.'!AS41</f>
        <v>330.86</v>
      </c>
      <c r="U164" s="22">
        <f t="shared" si="28"/>
        <v>40.614191903999995</v>
      </c>
      <c r="V164" s="22">
        <f t="shared" si="29"/>
        <v>330.85557</v>
      </c>
      <c r="W164" s="22">
        <f t="shared" si="30"/>
        <v>340.7812371</v>
      </c>
      <c r="X164" s="22">
        <f t="shared" si="31"/>
        <v>41.574920613489112</v>
      </c>
      <c r="Y164" s="22">
        <f t="shared" si="32"/>
        <v>351.00467421299999</v>
      </c>
      <c r="Z164" s="22">
        <f t="shared" si="33"/>
        <v>44.008633848859695</v>
      </c>
      <c r="AA164" s="22">
        <f t="shared" si="34"/>
        <v>361.53481443939</v>
      </c>
      <c r="AB164" s="22"/>
      <c r="AC164" s="128">
        <v>1.2406542347167924</v>
      </c>
    </row>
    <row r="165" spans="2:30" ht="21">
      <c r="B165" s="19"/>
      <c r="C165" s="14" t="s">
        <v>270</v>
      </c>
      <c r="D165" s="15" t="s">
        <v>271</v>
      </c>
      <c r="E165" s="16"/>
      <c r="F165" s="22"/>
      <c r="G165" s="22"/>
      <c r="H165" s="22">
        <v>181.49199999999999</v>
      </c>
      <c r="I165" s="22">
        <v>495.38000000000005</v>
      </c>
      <c r="J165" s="22">
        <v>186.86416320000001</v>
      </c>
      <c r="K165" s="22">
        <v>69.448400000000007</v>
      </c>
      <c r="L165" s="22">
        <v>191.84035586601598</v>
      </c>
      <c r="M165" s="22">
        <v>199.51397010065662</v>
      </c>
      <c r="N165" s="22">
        <f>'Админ. расх.'!AG42</f>
        <v>623.02008599999999</v>
      </c>
      <c r="O165" s="22">
        <f t="shared" si="19"/>
        <v>431.17973013398398</v>
      </c>
      <c r="P165" s="22">
        <v>207.49452890468294</v>
      </c>
      <c r="Q165" s="23">
        <v>74.604388112799995</v>
      </c>
      <c r="R165" s="23">
        <f>'Админ. расх.'!AJ42</f>
        <v>74.599999999999994</v>
      </c>
      <c r="S165" s="323">
        <f>521.45+526.349</f>
        <v>1047.799</v>
      </c>
      <c r="T165" s="22">
        <f>'Админ. расх.'!AS42</f>
        <v>1079.23</v>
      </c>
      <c r="U165" s="22">
        <f t="shared" si="28"/>
        <v>76.372512111073362</v>
      </c>
      <c r="V165" s="22">
        <f t="shared" si="29"/>
        <v>1079.23297</v>
      </c>
      <c r="W165" s="22">
        <f t="shared" si="30"/>
        <v>1111.6099591</v>
      </c>
      <c r="X165" s="22">
        <f t="shared" si="31"/>
        <v>78.179103885060798</v>
      </c>
      <c r="Y165" s="22">
        <f t="shared" si="32"/>
        <v>1144.9582578730001</v>
      </c>
      <c r="Z165" s="22">
        <f t="shared" si="33"/>
        <v>82.755553269614808</v>
      </c>
      <c r="AA165" s="22">
        <f t="shared" si="34"/>
        <v>1179.3070056091901</v>
      </c>
      <c r="AB165" s="22"/>
      <c r="AC165" s="128">
        <v>1.2653190184960001</v>
      </c>
    </row>
    <row r="166" spans="2:30">
      <c r="B166" s="19"/>
      <c r="C166" s="14" t="s">
        <v>272</v>
      </c>
      <c r="D166" s="15" t="s">
        <v>273</v>
      </c>
      <c r="E166" s="16"/>
      <c r="F166" s="22"/>
      <c r="G166" s="22"/>
      <c r="H166" s="22">
        <v>188.6354</v>
      </c>
      <c r="I166" s="22">
        <v>0</v>
      </c>
      <c r="J166" s="22">
        <v>194.21900783999999</v>
      </c>
      <c r="K166" s="22">
        <v>119.42840000000001</v>
      </c>
      <c r="L166" s="22">
        <v>199.39106001877917</v>
      </c>
      <c r="M166" s="22">
        <v>262.83359999999999</v>
      </c>
      <c r="N166" s="22">
        <f>'Админ. расх.'!AG43</f>
        <v>400.50714599999998</v>
      </c>
      <c r="O166" s="22">
        <f t="shared" si="19"/>
        <v>201.11608598122081</v>
      </c>
      <c r="P166" s="22">
        <v>273.34694400000001</v>
      </c>
      <c r="Q166" s="23">
        <v>128.29500327280002</v>
      </c>
      <c r="R166" s="23">
        <f>'Админ. расх.'!AJ43</f>
        <v>128.30000000000001</v>
      </c>
      <c r="S166" s="323">
        <f>419.18</f>
        <v>419.18</v>
      </c>
      <c r="T166" s="22">
        <f>'Админ. расх.'!AS43</f>
        <v>431.76</v>
      </c>
      <c r="U166" s="22">
        <f t="shared" si="28"/>
        <v>131.3355948503654</v>
      </c>
      <c r="V166" s="22">
        <f t="shared" si="29"/>
        <v>431.75540000000001</v>
      </c>
      <c r="W166" s="22">
        <f t="shared" si="30"/>
        <v>444.70806200000004</v>
      </c>
      <c r="X166" s="22">
        <f t="shared" si="31"/>
        <v>134.4423383465508</v>
      </c>
      <c r="Y166" s="22">
        <f t="shared" si="32"/>
        <v>458.04930386000007</v>
      </c>
      <c r="Z166" s="22">
        <f t="shared" si="33"/>
        <v>142.31232567063992</v>
      </c>
      <c r="AA166" s="22">
        <f t="shared" si="34"/>
        <v>471.79078297580008</v>
      </c>
      <c r="AB166" s="22"/>
      <c r="AC166" s="128">
        <v>1.6037693077017758</v>
      </c>
    </row>
    <row r="167" spans="2:30">
      <c r="B167" s="19"/>
      <c r="C167" s="14" t="s">
        <v>274</v>
      </c>
      <c r="D167" s="15" t="s">
        <v>275</v>
      </c>
      <c r="E167" s="16"/>
      <c r="F167" s="22"/>
      <c r="G167" s="22"/>
      <c r="H167" s="22">
        <v>256.07440000000003</v>
      </c>
      <c r="I167" s="22">
        <v>340.78199999999998</v>
      </c>
      <c r="J167" s="22">
        <v>263.65420224000002</v>
      </c>
      <c r="K167" s="22">
        <v>474.23200000000003</v>
      </c>
      <c r="L167" s="22">
        <v>270.67531364565122</v>
      </c>
      <c r="M167" s="22">
        <v>395.06640000000004</v>
      </c>
      <c r="N167" s="22">
        <f>'Админ. расх.'!AG44</f>
        <v>754.905528</v>
      </c>
      <c r="O167" s="22">
        <f t="shared" si="19"/>
        <v>484.23021435434879</v>
      </c>
      <c r="P167" s="22">
        <v>410.86905600000006</v>
      </c>
      <c r="Q167" s="23">
        <v>410.86905600000006</v>
      </c>
      <c r="R167" s="23">
        <f>'Админ. расх.'!AJ44</f>
        <v>410.87</v>
      </c>
      <c r="S167" s="323">
        <f>82.908+876.613</f>
        <v>959.52100000000007</v>
      </c>
      <c r="T167" s="22">
        <f>'Админ. расх.'!AS44</f>
        <v>988.31</v>
      </c>
      <c r="U167" s="22">
        <f t="shared" si="28"/>
        <v>420.60665262720011</v>
      </c>
      <c r="V167" s="22">
        <f t="shared" si="29"/>
        <v>988.30663000000015</v>
      </c>
      <c r="W167" s="22">
        <f t="shared" si="30"/>
        <v>1017.9558289000001</v>
      </c>
      <c r="X167" s="22">
        <f t="shared" si="31"/>
        <v>430.55610299509652</v>
      </c>
      <c r="Y167" s="22">
        <f t="shared" si="32"/>
        <v>1048.4945037670002</v>
      </c>
      <c r="Z167" s="22">
        <f t="shared" si="33"/>
        <v>455.76000166685412</v>
      </c>
      <c r="AA167" s="22">
        <f t="shared" si="34"/>
        <v>1079.9493388800101</v>
      </c>
      <c r="AB167" s="22"/>
      <c r="AC167" s="128">
        <v>1.7757758390555096</v>
      </c>
    </row>
    <row r="168" spans="2:30" ht="21">
      <c r="B168" s="19"/>
      <c r="C168" s="14" t="s">
        <v>276</v>
      </c>
      <c r="D168" s="15" t="s">
        <v>277</v>
      </c>
      <c r="E168" s="16"/>
      <c r="F168" s="22"/>
      <c r="G168" s="22"/>
      <c r="H168" s="22">
        <v>404.11040000000003</v>
      </c>
      <c r="I168" s="22">
        <v>1018.9834000000002</v>
      </c>
      <c r="J168" s="22">
        <v>416.07206783999999</v>
      </c>
      <c r="K168" s="22">
        <v>273.71768000000003</v>
      </c>
      <c r="L168" s="22">
        <v>427.15206700657922</v>
      </c>
      <c r="M168" s="22">
        <v>287.40356400000002</v>
      </c>
      <c r="N168" s="22">
        <f>'Админ. расх.'!AG45</f>
        <v>717.81746400000009</v>
      </c>
      <c r="O168" s="22">
        <f t="shared" si="19"/>
        <v>290.66539699342087</v>
      </c>
      <c r="P168" s="22">
        <v>298.89970656000003</v>
      </c>
      <c r="Q168" s="23">
        <v>294.03902799856002</v>
      </c>
      <c r="R168" s="23">
        <f>'Админ. расх.'!AJ45</f>
        <v>294.04000000000002</v>
      </c>
      <c r="S168" s="323">
        <f>875.081</f>
        <v>875.08100000000002</v>
      </c>
      <c r="T168" s="22">
        <f>'Админ. расх.'!AS45</f>
        <v>901.33</v>
      </c>
      <c r="U168" s="22">
        <f t="shared" si="28"/>
        <v>301.00775296212589</v>
      </c>
      <c r="V168" s="22">
        <f t="shared" si="29"/>
        <v>901.33343000000002</v>
      </c>
      <c r="W168" s="22">
        <f t="shared" si="30"/>
        <v>928.37343290000001</v>
      </c>
      <c r="X168" s="22">
        <f t="shared" si="31"/>
        <v>308.12809135844498</v>
      </c>
      <c r="Y168" s="22">
        <f t="shared" si="32"/>
        <v>956.22463588700009</v>
      </c>
      <c r="Z168" s="22">
        <f t="shared" si="33"/>
        <v>326.16529751693895</v>
      </c>
      <c r="AA168" s="22">
        <f t="shared" si="34"/>
        <v>984.91137496361011</v>
      </c>
      <c r="AB168" s="22"/>
      <c r="AC168" s="128">
        <v>0.81860865792162585</v>
      </c>
    </row>
    <row r="169" spans="2:30" ht="21">
      <c r="B169" s="19"/>
      <c r="C169" s="14" t="s">
        <v>278</v>
      </c>
      <c r="D169" s="15" t="s">
        <v>279</v>
      </c>
      <c r="E169" s="16"/>
      <c r="F169" s="22"/>
      <c r="G169" s="22"/>
      <c r="H169" s="22">
        <v>323.41140000000001</v>
      </c>
      <c r="I169" s="22">
        <v>338.31700000000001</v>
      </c>
      <c r="J169" s="22">
        <v>332.98437744000006</v>
      </c>
      <c r="K169" s="22">
        <v>262.14000000000004</v>
      </c>
      <c r="L169" s="22">
        <v>341.85</v>
      </c>
      <c r="M169" s="22">
        <v>275.24700000000007</v>
      </c>
      <c r="N169" s="22">
        <f>'Админ. расх.'!AG46</f>
        <v>0</v>
      </c>
      <c r="O169" s="22">
        <f t="shared" si="19"/>
        <v>-341.85</v>
      </c>
      <c r="P169" s="22">
        <v>286.25688000000008</v>
      </c>
      <c r="Q169" s="23">
        <v>281.60179788000005</v>
      </c>
      <c r="R169" s="23">
        <f>'Админ. расх.'!AJ46</f>
        <v>281.60000000000002</v>
      </c>
      <c r="S169" s="323">
        <f>248.418</f>
        <v>248.41800000000001</v>
      </c>
      <c r="T169" s="22">
        <f>'Админ. расх.'!AS46</f>
        <v>255.87</v>
      </c>
      <c r="U169" s="22">
        <f t="shared" si="28"/>
        <v>288.27576048975607</v>
      </c>
      <c r="V169" s="22">
        <f t="shared" si="29"/>
        <v>255.87054000000001</v>
      </c>
      <c r="W169" s="22">
        <f t="shared" si="30"/>
        <v>263.54665620000003</v>
      </c>
      <c r="X169" s="22">
        <f t="shared" si="31"/>
        <v>295.09492360414123</v>
      </c>
      <c r="Y169" s="22">
        <f t="shared" si="32"/>
        <v>271.45305588600002</v>
      </c>
      <c r="Z169" s="22">
        <f t="shared" si="33"/>
        <v>312.36919402170287</v>
      </c>
      <c r="AA169" s="22">
        <f t="shared" si="34"/>
        <v>279.59664756258002</v>
      </c>
      <c r="AB169" s="22"/>
      <c r="AC169" s="128">
        <v>0.97961112016057594</v>
      </c>
    </row>
    <row r="170" spans="2:30" ht="21">
      <c r="B170" s="19"/>
      <c r="C170" s="14" t="s">
        <v>270</v>
      </c>
      <c r="D170" s="15" t="s">
        <v>531</v>
      </c>
      <c r="E170" s="16" t="s">
        <v>22</v>
      </c>
      <c r="F170" s="22">
        <v>4938.561200000001</v>
      </c>
      <c r="G170" s="22">
        <v>6504.3360000000011</v>
      </c>
      <c r="H170" s="22">
        <v>0</v>
      </c>
      <c r="I170" s="22">
        <v>6592.3416000000007</v>
      </c>
      <c r="J170" s="22">
        <v>4846.8391171200001</v>
      </c>
      <c r="K170" s="22">
        <v>1545.00046</v>
      </c>
      <c r="L170" s="22">
        <v>4975.9104428089058</v>
      </c>
      <c r="M170" s="22">
        <v>1591.3504738000001</v>
      </c>
      <c r="N170" s="22">
        <f>SUM(N171:N173)</f>
        <v>62.173999999999999</v>
      </c>
      <c r="O170" s="22">
        <f t="shared" si="19"/>
        <v>-4913.7364428089058</v>
      </c>
      <c r="P170" s="56">
        <v>1655.0044927520003</v>
      </c>
      <c r="Q170" s="23">
        <v>1655.0044927520003</v>
      </c>
      <c r="R170" s="23">
        <f>'Админ. расх.'!AJ47</f>
        <v>1655.02</v>
      </c>
      <c r="S170" s="323"/>
      <c r="T170" s="22">
        <f>'Админ. расх.'!AS47</f>
        <v>0</v>
      </c>
      <c r="U170" s="22">
        <f t="shared" si="28"/>
        <v>1694.2280992302228</v>
      </c>
      <c r="V170" s="22">
        <f t="shared" si="29"/>
        <v>0</v>
      </c>
      <c r="W170" s="22">
        <f t="shared" si="30"/>
        <v>0</v>
      </c>
      <c r="X170" s="22">
        <f t="shared" si="31"/>
        <v>1734.3050649175136</v>
      </c>
      <c r="Y170" s="22">
        <f>'Админ. расх.'!AY47</f>
        <v>0</v>
      </c>
      <c r="Z170" s="22">
        <f t="shared" si="33"/>
        <v>1835.8278370209084</v>
      </c>
      <c r="AA170" s="22">
        <f t="shared" si="34"/>
        <v>0</v>
      </c>
      <c r="AB170" s="22"/>
      <c r="AC170" s="128">
        <v>0.38909887847407559</v>
      </c>
    </row>
    <row r="171" spans="2:30" ht="21" hidden="1">
      <c r="B171" s="19"/>
      <c r="C171" s="14" t="s">
        <v>281</v>
      </c>
      <c r="D171" s="48" t="s">
        <v>282</v>
      </c>
      <c r="E171" s="16" t="s">
        <v>22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f t="shared" si="19"/>
        <v>0</v>
      </c>
      <c r="P171" s="22"/>
      <c r="Q171" s="23"/>
      <c r="R171" s="23"/>
      <c r="S171" s="323"/>
      <c r="T171" s="22"/>
      <c r="U171" s="22">
        <f t="shared" si="28"/>
        <v>0</v>
      </c>
      <c r="V171" s="22">
        <f t="shared" si="29"/>
        <v>0</v>
      </c>
      <c r="W171" s="22"/>
      <c r="X171" s="22">
        <f t="shared" si="31"/>
        <v>0</v>
      </c>
      <c r="Y171" s="22"/>
      <c r="Z171" s="22">
        <f t="shared" si="33"/>
        <v>0</v>
      </c>
      <c r="AA171" s="22">
        <f t="shared" si="34"/>
        <v>0</v>
      </c>
      <c r="AB171" s="22"/>
      <c r="AC171" s="128" t="e">
        <v>#DIV/0!</v>
      </c>
    </row>
    <row r="172" spans="2:30" ht="21" hidden="1">
      <c r="B172" s="19"/>
      <c r="C172" s="14" t="s">
        <v>283</v>
      </c>
      <c r="D172" s="48" t="s">
        <v>532</v>
      </c>
      <c r="E172" s="16" t="s">
        <v>22</v>
      </c>
      <c r="F172" s="22">
        <v>34.401200000000003</v>
      </c>
      <c r="G172" s="22">
        <v>348.84000000000003</v>
      </c>
      <c r="H172" s="22"/>
      <c r="I172" s="22"/>
      <c r="J172" s="22"/>
      <c r="K172" s="22"/>
      <c r="L172" s="22"/>
      <c r="M172" s="22"/>
      <c r="N172" s="22"/>
      <c r="O172" s="22">
        <f t="shared" si="19"/>
        <v>0</v>
      </c>
      <c r="P172" s="22"/>
      <c r="Q172" s="23"/>
      <c r="R172" s="23"/>
      <c r="S172" s="323"/>
      <c r="T172" s="22"/>
      <c r="U172" s="22">
        <f t="shared" si="28"/>
        <v>0</v>
      </c>
      <c r="V172" s="22">
        <f t="shared" si="29"/>
        <v>0</v>
      </c>
      <c r="W172" s="22"/>
      <c r="X172" s="22">
        <f t="shared" si="31"/>
        <v>0</v>
      </c>
      <c r="Y172" s="22"/>
      <c r="Z172" s="22">
        <f t="shared" si="33"/>
        <v>0</v>
      </c>
      <c r="AA172" s="22">
        <f t="shared" si="34"/>
        <v>0</v>
      </c>
      <c r="AB172" s="22"/>
      <c r="AC172" s="128" t="e">
        <v>#DIV/0!</v>
      </c>
    </row>
    <row r="173" spans="2:30" ht="21">
      <c r="B173" s="19"/>
      <c r="C173" s="14" t="s">
        <v>533</v>
      </c>
      <c r="D173" s="48" t="s">
        <v>284</v>
      </c>
      <c r="E173" s="16" t="s">
        <v>22</v>
      </c>
      <c r="F173" s="22">
        <v>4904.1600000000008</v>
      </c>
      <c r="G173" s="22">
        <v>6155.496000000001</v>
      </c>
      <c r="H173" s="22">
        <v>0</v>
      </c>
      <c r="I173" s="22">
        <v>6592.3416000000007</v>
      </c>
      <c r="J173" s="22">
        <v>4846.8391171200001</v>
      </c>
      <c r="K173" s="22">
        <v>1545.00046</v>
      </c>
      <c r="L173" s="22">
        <v>4975.9104428089058</v>
      </c>
      <c r="M173" s="22">
        <v>1591.3504738000001</v>
      </c>
      <c r="N173" s="22">
        <v>62.173999999999999</v>
      </c>
      <c r="O173" s="22">
        <f t="shared" si="19"/>
        <v>-4913.7364428089058</v>
      </c>
      <c r="P173" s="22">
        <v>1655.0044927520003</v>
      </c>
      <c r="Q173" s="23">
        <v>1655.0044927520003</v>
      </c>
      <c r="R173" s="23">
        <f>R170</f>
        <v>1655.02</v>
      </c>
      <c r="S173" s="323"/>
      <c r="T173" s="23">
        <f>T170</f>
        <v>0</v>
      </c>
      <c r="U173" s="22">
        <f t="shared" si="28"/>
        <v>1694.2280992302228</v>
      </c>
      <c r="V173" s="22"/>
      <c r="W173" s="23">
        <f>W170</f>
        <v>0</v>
      </c>
      <c r="X173" s="22">
        <f t="shared" si="31"/>
        <v>1734.3050649175136</v>
      </c>
      <c r="Y173" s="23">
        <f>Y170</f>
        <v>0</v>
      </c>
      <c r="Z173" s="22">
        <f t="shared" si="33"/>
        <v>1835.8278370209084</v>
      </c>
      <c r="AA173" s="23">
        <f>AA170</f>
        <v>0</v>
      </c>
      <c r="AB173" s="22"/>
      <c r="AC173" s="128">
        <v>0.38909887847407559</v>
      </c>
    </row>
    <row r="174" spans="2:30" ht="21">
      <c r="B174" s="58" t="s">
        <v>171</v>
      </c>
      <c r="C174" s="49">
        <v>4</v>
      </c>
      <c r="D174" s="49" t="s">
        <v>285</v>
      </c>
      <c r="E174" s="16" t="s">
        <v>22</v>
      </c>
      <c r="F174" s="22">
        <v>3100</v>
      </c>
      <c r="G174" s="22">
        <v>3125.5411116000005</v>
      </c>
      <c r="H174" s="22">
        <v>3449.47</v>
      </c>
      <c r="I174" s="22">
        <v>3597.79</v>
      </c>
      <c r="J174" s="22">
        <v>3597.79</v>
      </c>
      <c r="K174" s="22">
        <v>1097.4933759004093</v>
      </c>
      <c r="L174" s="22">
        <v>4295.92</v>
      </c>
      <c r="M174" s="22">
        <v>1141.393110936426</v>
      </c>
      <c r="N174" s="22">
        <f>N175</f>
        <v>8310.7251835027473</v>
      </c>
      <c r="O174" s="22">
        <f t="shared" si="19"/>
        <v>4014.8051835027472</v>
      </c>
      <c r="P174" s="22">
        <v>1141.393110936426</v>
      </c>
      <c r="Q174" s="23">
        <f>Q175</f>
        <v>1168.3631109364301</v>
      </c>
      <c r="R174" s="23"/>
      <c r="S174" s="323">
        <f>S175</f>
        <v>7753.9322270927005</v>
      </c>
      <c r="T174" s="323">
        <f t="shared" ref="T174:AA174" si="35">T175</f>
        <v>1141.393110936426</v>
      </c>
      <c r="U174" s="323">
        <f t="shared" si="35"/>
        <v>1168.3631109364301</v>
      </c>
      <c r="V174" s="323">
        <f t="shared" si="35"/>
        <v>7753.9322270927005</v>
      </c>
      <c r="W174" s="323">
        <f t="shared" si="35"/>
        <v>7753.9322270927005</v>
      </c>
      <c r="X174" s="22">
        <f>X175</f>
        <v>1168.3599999999999</v>
      </c>
      <c r="Y174" s="323">
        <f t="shared" si="35"/>
        <v>7753.9322270927005</v>
      </c>
      <c r="Z174" s="22">
        <v>284.75</v>
      </c>
      <c r="AA174" s="323">
        <f t="shared" si="35"/>
        <v>7753.9322270927005</v>
      </c>
      <c r="AB174" s="22"/>
      <c r="AC174" s="128">
        <v>0.2656923571520014</v>
      </c>
    </row>
    <row r="175" spans="2:30" ht="21">
      <c r="B175" s="19"/>
      <c r="C175" s="14" t="s">
        <v>286</v>
      </c>
      <c r="D175" s="762" t="s">
        <v>287</v>
      </c>
      <c r="E175" s="16" t="s">
        <v>22</v>
      </c>
      <c r="F175" s="22">
        <v>3100</v>
      </c>
      <c r="G175" s="22">
        <v>3125.5411116000005</v>
      </c>
      <c r="H175" s="22">
        <v>3449.47</v>
      </c>
      <c r="I175" s="22">
        <v>3597.79</v>
      </c>
      <c r="J175" s="22">
        <v>3597.79</v>
      </c>
      <c r="K175" s="22">
        <v>1097.4933759004093</v>
      </c>
      <c r="L175" s="22">
        <v>4295.92</v>
      </c>
      <c r="M175" s="22">
        <v>1141.393110936426</v>
      </c>
      <c r="N175" s="22">
        <f>'[9]сбытовые расходы'!P14/1000</f>
        <v>8310.7251835027473</v>
      </c>
      <c r="O175" s="22">
        <f t="shared" si="19"/>
        <v>4014.8051835027472</v>
      </c>
      <c r="P175" s="22">
        <v>1141.393110936426</v>
      </c>
      <c r="Q175" s="23">
        <f>1141.39311093643+26.97</f>
        <v>1168.3631109364301</v>
      </c>
      <c r="R175" s="23"/>
      <c r="S175" s="323">
        <f>'[9]сбытовые расходы'!R14/1000</f>
        <v>7753.9322270927005</v>
      </c>
      <c r="T175" s="323">
        <v>1141.393110936426</v>
      </c>
      <c r="U175" s="323">
        <f>Q175</f>
        <v>1168.3631109364301</v>
      </c>
      <c r="V175" s="323">
        <f>'[9]сбытовые расходы'!S14/1000</f>
        <v>7753.9322270927005</v>
      </c>
      <c r="W175" s="323">
        <f>'[9]сбытовые расходы'!T14/1000</f>
        <v>7753.9322270927005</v>
      </c>
      <c r="X175" s="22">
        <v>1168.3599999999999</v>
      </c>
      <c r="Y175" s="323">
        <f>'[9]сбытовые расходы'!U14/1000</f>
        <v>7753.9322270927005</v>
      </c>
      <c r="Z175" s="22">
        <v>284.75</v>
      </c>
      <c r="AA175" s="323">
        <f>'[9]сбытовые расходы'!V14/1000</f>
        <v>7753.9322270927005</v>
      </c>
      <c r="AB175" s="22"/>
      <c r="AC175" s="128">
        <v>0.2656923571520014</v>
      </c>
    </row>
    <row r="176" spans="2:30">
      <c r="B176" s="60" t="s">
        <v>288</v>
      </c>
      <c r="C176" s="49">
        <v>5</v>
      </c>
      <c r="D176" s="49" t="s">
        <v>289</v>
      </c>
      <c r="E176" s="16" t="s">
        <v>22</v>
      </c>
      <c r="F176" s="22">
        <v>29290</v>
      </c>
      <c r="G176" s="22">
        <v>56084.170000000006</v>
      </c>
      <c r="H176" s="22">
        <v>46484.109999999993</v>
      </c>
      <c r="I176" s="22">
        <v>75957.08</v>
      </c>
      <c r="J176" s="22">
        <v>191400.02</v>
      </c>
      <c r="K176" s="22">
        <v>135230.29020000002</v>
      </c>
      <c r="L176" s="22">
        <v>191264.72</v>
      </c>
      <c r="M176" s="22">
        <v>136213.3934</v>
      </c>
      <c r="N176" s="22">
        <f t="shared" ref="N176:S176" si="36">N177</f>
        <v>118501.05</v>
      </c>
      <c r="O176" s="22">
        <f t="shared" si="36"/>
        <v>-72763.67</v>
      </c>
      <c r="P176" s="22">
        <f t="shared" si="36"/>
        <v>146188.16019999998</v>
      </c>
      <c r="Q176" s="22">
        <f t="shared" si="36"/>
        <v>114294.35</v>
      </c>
      <c r="R176" s="22">
        <f t="shared" si="36"/>
        <v>226266.56</v>
      </c>
      <c r="S176" s="323">
        <f t="shared" si="36"/>
        <v>242742.45</v>
      </c>
      <c r="T176" s="323">
        <f t="shared" ref="T176:AD176" si="37">T177</f>
        <v>335689.23</v>
      </c>
      <c r="U176" s="323">
        <f t="shared" si="37"/>
        <v>114294.35</v>
      </c>
      <c r="V176" s="323">
        <f t="shared" si="37"/>
        <v>244145.16600000003</v>
      </c>
      <c r="W176" s="323">
        <f t="shared" si="37"/>
        <v>250740.7</v>
      </c>
      <c r="X176" s="323">
        <f t="shared" si="37"/>
        <v>114294.35</v>
      </c>
      <c r="Y176" s="323">
        <f t="shared" si="37"/>
        <v>254975.30000000005</v>
      </c>
      <c r="Z176" s="323">
        <v>145432.94</v>
      </c>
      <c r="AA176" s="323">
        <f t="shared" si="37"/>
        <v>257903.03000000003</v>
      </c>
      <c r="AB176" s="323">
        <f t="shared" si="37"/>
        <v>0</v>
      </c>
      <c r="AC176" s="323">
        <f t="shared" si="37"/>
        <v>0.84803235432023216</v>
      </c>
      <c r="AD176" s="323">
        <f t="shared" si="37"/>
        <v>0</v>
      </c>
    </row>
    <row r="177" spans="2:34" ht="52.5">
      <c r="B177" s="19"/>
      <c r="C177" s="14" t="s">
        <v>290</v>
      </c>
      <c r="D177" s="59" t="s">
        <v>291</v>
      </c>
      <c r="E177" s="16" t="s">
        <v>22</v>
      </c>
      <c r="F177" s="22">
        <v>29290</v>
      </c>
      <c r="G177" s="22">
        <v>56084.170000000006</v>
      </c>
      <c r="H177" s="22">
        <v>46484.109999999993</v>
      </c>
      <c r="I177" s="22">
        <v>75957.08</v>
      </c>
      <c r="J177" s="22">
        <v>191400.02</v>
      </c>
      <c r="K177" s="22">
        <v>135230.29020000002</v>
      </c>
      <c r="L177" s="22">
        <v>191264.72</v>
      </c>
      <c r="M177" s="22">
        <v>136213.3934</v>
      </c>
      <c r="N177" s="22">
        <v>118501.05</v>
      </c>
      <c r="O177" s="22">
        <f t="shared" si="19"/>
        <v>-72763.67</v>
      </c>
      <c r="P177" s="22">
        <v>146188.16019999998</v>
      </c>
      <c r="Q177" s="51">
        <v>114294.35</v>
      </c>
      <c r="R177" s="51">
        <v>226266.56</v>
      </c>
      <c r="S177" s="850">
        <f>'расшифровки ВО'!M393</f>
        <v>242742.45</v>
      </c>
      <c r="T177" s="22">
        <v>335689.23</v>
      </c>
      <c r="U177" s="22">
        <f>Q177</f>
        <v>114294.35</v>
      </c>
      <c r="V177" s="22">
        <f>'расшифровки ВО'!O393</f>
        <v>244145.16600000003</v>
      </c>
      <c r="W177" s="22">
        <f>'расшифровки ВО'!Q393</f>
        <v>250740.7</v>
      </c>
      <c r="X177" s="22">
        <v>114294.35</v>
      </c>
      <c r="Y177" s="22">
        <f>'расшифровки ВО'!S393</f>
        <v>254975.30000000005</v>
      </c>
      <c r="Z177" s="22">
        <v>145432.94</v>
      </c>
      <c r="AA177" s="22">
        <f>'расшифровки ВО'!U393</f>
        <v>257903.03000000003</v>
      </c>
      <c r="AB177" s="22">
        <v>0</v>
      </c>
      <c r="AC177" s="128">
        <v>0.84803235432023216</v>
      </c>
    </row>
    <row r="178" spans="2:34" ht="94.5" hidden="1">
      <c r="B178" s="58" t="s">
        <v>171</v>
      </c>
      <c r="C178" s="49">
        <v>6</v>
      </c>
      <c r="D178" s="49" t="s">
        <v>292</v>
      </c>
      <c r="E178" s="16" t="s">
        <v>22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/>
      <c r="O178" s="22">
        <f t="shared" si="19"/>
        <v>0</v>
      </c>
      <c r="P178" s="17">
        <v>0</v>
      </c>
      <c r="Q178" s="18">
        <v>0</v>
      </c>
      <c r="R178" s="18"/>
      <c r="S178" s="324"/>
      <c r="T178" s="17">
        <v>0</v>
      </c>
      <c r="U178" s="17">
        <v>0</v>
      </c>
      <c r="V178" s="17"/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28" t="e">
        <v>#DIV/0!</v>
      </c>
    </row>
    <row r="179" spans="2:34" hidden="1">
      <c r="B179" s="19"/>
      <c r="C179" s="14" t="s">
        <v>293</v>
      </c>
      <c r="D179" s="15" t="s">
        <v>294</v>
      </c>
      <c r="E179" s="16" t="s">
        <v>22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/>
      <c r="O179" s="22">
        <f t="shared" si="19"/>
        <v>0</v>
      </c>
      <c r="P179" s="17">
        <v>0</v>
      </c>
      <c r="Q179" s="18">
        <v>0</v>
      </c>
      <c r="R179" s="18"/>
      <c r="S179" s="324"/>
      <c r="T179" s="17">
        <v>0</v>
      </c>
      <c r="U179" s="17">
        <v>0</v>
      </c>
      <c r="V179" s="17"/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28" t="e">
        <v>#DIV/0!</v>
      </c>
    </row>
    <row r="180" spans="2:34" ht="21" hidden="1">
      <c r="B180" s="19"/>
      <c r="C180" s="14" t="s">
        <v>295</v>
      </c>
      <c r="D180" s="48" t="s">
        <v>296</v>
      </c>
      <c r="E180" s="16" t="s">
        <v>22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>
        <f t="shared" si="19"/>
        <v>0</v>
      </c>
      <c r="P180" s="22"/>
      <c r="Q180" s="23"/>
      <c r="R180" s="23"/>
      <c r="S180" s="323"/>
      <c r="T180" s="22"/>
      <c r="U180" s="22"/>
      <c r="V180" s="22"/>
      <c r="W180" s="22"/>
      <c r="X180" s="22"/>
      <c r="Y180" s="22"/>
      <c r="Z180" s="22"/>
      <c r="AA180" s="22"/>
      <c r="AB180" s="22"/>
      <c r="AC180" s="128" t="e">
        <v>#DIV/0!</v>
      </c>
    </row>
    <row r="181" spans="2:34" ht="21" hidden="1">
      <c r="B181" s="19"/>
      <c r="C181" s="14" t="s">
        <v>297</v>
      </c>
      <c r="D181" s="48" t="s">
        <v>298</v>
      </c>
      <c r="E181" s="16" t="s">
        <v>22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>
        <f t="shared" si="19"/>
        <v>0</v>
      </c>
      <c r="P181" s="22"/>
      <c r="Q181" s="23"/>
      <c r="R181" s="23"/>
      <c r="S181" s="323"/>
      <c r="T181" s="22"/>
      <c r="U181" s="22"/>
      <c r="V181" s="22"/>
      <c r="W181" s="22"/>
      <c r="X181" s="22"/>
      <c r="Y181" s="22"/>
      <c r="Z181" s="22"/>
      <c r="AA181" s="22"/>
      <c r="AB181" s="22"/>
      <c r="AC181" s="128" t="e">
        <v>#DIV/0!</v>
      </c>
    </row>
    <row r="182" spans="2:34" hidden="1">
      <c r="B182" s="19"/>
      <c r="C182" s="14" t="s">
        <v>299</v>
      </c>
      <c r="D182" s="48" t="s">
        <v>300</v>
      </c>
      <c r="E182" s="16" t="s">
        <v>22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>
        <f t="shared" si="19"/>
        <v>0</v>
      </c>
      <c r="P182" s="22"/>
      <c r="Q182" s="23"/>
      <c r="R182" s="23"/>
      <c r="S182" s="323"/>
      <c r="T182" s="22"/>
      <c r="U182" s="22"/>
      <c r="V182" s="22"/>
      <c r="W182" s="22"/>
      <c r="X182" s="22"/>
      <c r="Y182" s="22"/>
      <c r="Z182" s="22"/>
      <c r="AA182" s="22"/>
      <c r="AB182" s="22"/>
      <c r="AC182" s="128" t="e">
        <v>#DIV/0!</v>
      </c>
    </row>
    <row r="183" spans="2:34" hidden="1">
      <c r="B183" s="19"/>
      <c r="C183" s="14" t="s">
        <v>301</v>
      </c>
      <c r="D183" s="15" t="s">
        <v>302</v>
      </c>
      <c r="E183" s="16" t="s">
        <v>22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>
        <f t="shared" si="19"/>
        <v>0</v>
      </c>
      <c r="P183" s="22"/>
      <c r="Q183" s="23"/>
      <c r="R183" s="23"/>
      <c r="S183" s="323"/>
      <c r="T183" s="22"/>
      <c r="U183" s="22"/>
      <c r="V183" s="22"/>
      <c r="W183" s="22"/>
      <c r="X183" s="22"/>
      <c r="Y183" s="22"/>
      <c r="Z183" s="22"/>
      <c r="AA183" s="22"/>
      <c r="AB183" s="22"/>
      <c r="AC183" s="128" t="e">
        <v>#DIV/0!</v>
      </c>
    </row>
    <row r="184" spans="2:34" hidden="1">
      <c r="B184" s="19"/>
      <c r="C184" s="14" t="s">
        <v>303</v>
      </c>
      <c r="D184" s="15" t="s">
        <v>304</v>
      </c>
      <c r="E184" s="16" t="s">
        <v>22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>
        <f t="shared" si="19"/>
        <v>0</v>
      </c>
      <c r="P184" s="22"/>
      <c r="Q184" s="23"/>
      <c r="R184" s="23"/>
      <c r="S184" s="323"/>
      <c r="T184" s="22"/>
      <c r="U184" s="22"/>
      <c r="V184" s="22"/>
      <c r="W184" s="22"/>
      <c r="X184" s="22"/>
      <c r="Y184" s="22"/>
      <c r="Z184" s="22"/>
      <c r="AA184" s="22"/>
      <c r="AB184" s="22"/>
      <c r="AC184" s="128" t="e">
        <v>#DIV/0!</v>
      </c>
    </row>
    <row r="185" spans="2:34" hidden="1">
      <c r="B185" s="19"/>
      <c r="C185" s="14" t="s">
        <v>305</v>
      </c>
      <c r="D185" s="15" t="s">
        <v>534</v>
      </c>
      <c r="E185" s="16" t="s">
        <v>22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>
        <f t="shared" si="19"/>
        <v>0</v>
      </c>
      <c r="P185" s="22"/>
      <c r="Q185" s="23"/>
      <c r="R185" s="23"/>
      <c r="S185" s="323"/>
      <c r="T185" s="22"/>
      <c r="U185" s="22"/>
      <c r="V185" s="22"/>
      <c r="W185" s="22"/>
      <c r="X185" s="22"/>
      <c r="Y185" s="22"/>
      <c r="Z185" s="22"/>
      <c r="AA185" s="22"/>
      <c r="AB185" s="22"/>
      <c r="AC185" s="128" t="e">
        <v>#DIV/0!</v>
      </c>
    </row>
    <row r="186" spans="2:34" hidden="1">
      <c r="B186" s="19"/>
      <c r="C186" s="14" t="s">
        <v>307</v>
      </c>
      <c r="D186" s="15" t="s">
        <v>308</v>
      </c>
      <c r="E186" s="16" t="s">
        <v>22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>
        <f t="shared" si="19"/>
        <v>0</v>
      </c>
      <c r="P186" s="22"/>
      <c r="Q186" s="23"/>
      <c r="R186" s="23"/>
      <c r="S186" s="323"/>
      <c r="T186" s="22"/>
      <c r="U186" s="22"/>
      <c r="V186" s="22"/>
      <c r="W186" s="22"/>
      <c r="X186" s="22"/>
      <c r="Y186" s="22"/>
      <c r="Z186" s="22"/>
      <c r="AA186" s="22"/>
      <c r="AB186" s="22"/>
      <c r="AC186" s="128" t="e">
        <v>#DIV/0!</v>
      </c>
    </row>
    <row r="187" spans="2:34" ht="84">
      <c r="B187" s="58" t="s">
        <v>171</v>
      </c>
      <c r="C187" s="49">
        <v>7</v>
      </c>
      <c r="D187" s="763" t="s">
        <v>309</v>
      </c>
      <c r="E187" s="16" t="s">
        <v>22</v>
      </c>
      <c r="F187" s="17">
        <v>19743.579999999998</v>
      </c>
      <c r="G187" s="17">
        <v>20310.349999999999</v>
      </c>
      <c r="H187" s="17">
        <v>16178.380000000001</v>
      </c>
      <c r="I187" s="17">
        <v>19972.47</v>
      </c>
      <c r="J187" s="17">
        <v>84618.420000000013</v>
      </c>
      <c r="K187" s="17">
        <v>59745.260310000005</v>
      </c>
      <c r="L187" s="17">
        <v>76786.759999999995</v>
      </c>
      <c r="M187" s="17">
        <v>61271.868818537143</v>
      </c>
      <c r="N187" s="17">
        <f>SUM(N188:N193)</f>
        <v>61411.626644832002</v>
      </c>
      <c r="O187" s="22">
        <f t="shared" si="19"/>
        <v>-15375.133355167993</v>
      </c>
      <c r="P187" s="17">
        <v>74971.165273010367</v>
      </c>
      <c r="Q187" s="18">
        <f>34753.3062933</f>
        <v>34753.306293299996</v>
      </c>
      <c r="R187" s="17">
        <f t="shared" ref="R187:Z187" si="38">SUM(R188:R193)</f>
        <v>102724.71924183202</v>
      </c>
      <c r="S187" s="324">
        <f t="shared" si="38"/>
        <v>117174.26299999999</v>
      </c>
      <c r="T187" s="17">
        <f t="shared" si="38"/>
        <v>144628.87502883197</v>
      </c>
      <c r="U187" s="17">
        <f t="shared" si="38"/>
        <v>34753.306293299996</v>
      </c>
      <c r="V187" s="17">
        <f t="shared" si="38"/>
        <v>151853.05334560262</v>
      </c>
      <c r="W187" s="17">
        <f t="shared" si="38"/>
        <v>151853.05334560262</v>
      </c>
      <c r="X187" s="17">
        <f t="shared" si="38"/>
        <v>78369.5</v>
      </c>
      <c r="Y187" s="17">
        <f>SUM(Y188:Y193)</f>
        <v>151853.05334560262</v>
      </c>
      <c r="Z187" s="17">
        <f t="shared" si="38"/>
        <v>57935.63</v>
      </c>
      <c r="AA187" s="17">
        <f>SUM(AA188:AA193)</f>
        <v>151853.05334560262</v>
      </c>
      <c r="AB187" s="17">
        <v>0</v>
      </c>
      <c r="AC187" s="128">
        <v>1.0284023107076263</v>
      </c>
      <c r="AF187" s="1548" t="s">
        <v>1832</v>
      </c>
      <c r="AG187" s="1547"/>
      <c r="AH187" s="1547" t="e">
        <f>45298.15/AF187</f>
        <v>#VALUE!</v>
      </c>
    </row>
    <row r="188" spans="2:34">
      <c r="B188" s="19"/>
      <c r="C188" s="14" t="s">
        <v>310</v>
      </c>
      <c r="D188" s="59" t="s">
        <v>311</v>
      </c>
      <c r="E188" s="16" t="s">
        <v>22</v>
      </c>
      <c r="F188" s="22">
        <v>2724.81</v>
      </c>
      <c r="G188" s="22">
        <v>365.99</v>
      </c>
      <c r="H188" s="22">
        <v>1849</v>
      </c>
      <c r="I188" s="22">
        <v>3600</v>
      </c>
      <c r="J188" s="22">
        <v>3160</v>
      </c>
      <c r="K188" s="22"/>
      <c r="L188" s="22">
        <v>450.01</v>
      </c>
      <c r="M188" s="22"/>
      <c r="N188" s="22"/>
      <c r="O188" s="22">
        <f t="shared" si="19"/>
        <v>-450.01</v>
      </c>
      <c r="P188" s="22">
        <v>10660.069773046371</v>
      </c>
      <c r="Q188" s="23">
        <v>324.0531840000001</v>
      </c>
      <c r="R188" s="23"/>
      <c r="S188" s="323"/>
      <c r="T188" s="22">
        <v>0</v>
      </c>
      <c r="U188" s="22">
        <f t="shared" ref="U188:U193" si="39">Q188</f>
        <v>324.0531840000001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128">
        <v>17.968913635360817</v>
      </c>
      <c r="AF188">
        <f>71664.79/46096.4</f>
        <v>1.5546721652883955</v>
      </c>
    </row>
    <row r="189" spans="2:34">
      <c r="B189" s="19"/>
      <c r="C189" s="14" t="s">
        <v>312</v>
      </c>
      <c r="D189" s="59" t="s">
        <v>313</v>
      </c>
      <c r="E189" s="16" t="s">
        <v>22</v>
      </c>
      <c r="F189" s="22">
        <v>10000</v>
      </c>
      <c r="G189" s="22">
        <v>13478.66</v>
      </c>
      <c r="H189" s="22">
        <v>8688.2900000000009</v>
      </c>
      <c r="I189" s="22">
        <v>14746.82</v>
      </c>
      <c r="J189" s="22">
        <v>74711.100000000006</v>
      </c>
      <c r="K189" s="22">
        <v>59025.022199999999</v>
      </c>
      <c r="L189" s="22">
        <v>74711.100000000006</v>
      </c>
      <c r="M189" s="22">
        <v>60539.796562537136</v>
      </c>
      <c r="N189" s="22">
        <v>60309.309000000001</v>
      </c>
      <c r="O189" s="22">
        <f t="shared" si="19"/>
        <v>-14401.791000000005</v>
      </c>
      <c r="P189" s="22">
        <v>63566.786390663998</v>
      </c>
      <c r="Q189" s="23">
        <v>33599.184000000001</v>
      </c>
      <c r="R189" s="22">
        <f>'налог на имущество 2018-2023'!J4/1000</f>
        <v>102201.61674700001</v>
      </c>
      <c r="S189" s="323">
        <v>116657.019</v>
      </c>
      <c r="T189" s="22">
        <f>'налог на имущество 2018-2023'!K4/1000</f>
        <v>144093.923534</v>
      </c>
      <c r="U189" s="22">
        <f t="shared" si="39"/>
        <v>33599.184000000001</v>
      </c>
      <c r="V189" s="22">
        <f>'налог на имущество 2021'!M4/1000</f>
        <v>151283.54949560264</v>
      </c>
      <c r="W189" s="22">
        <f>'налог на имущество 2021'!N4/1000</f>
        <v>151283.54949560264</v>
      </c>
      <c r="X189" s="22">
        <v>77800</v>
      </c>
      <c r="Y189" s="22">
        <f>'налог на имущество 2021'!O4/1000</f>
        <v>151283.54949560264</v>
      </c>
      <c r="Z189" s="22">
        <f>88630.81-32000</f>
        <v>56630.81</v>
      </c>
      <c r="AA189" s="22">
        <f>'налог на имущество 2021'!P4/1000</f>
        <v>151283.54949560264</v>
      </c>
      <c r="AB189" s="22">
        <v>0</v>
      </c>
      <c r="AC189" s="128">
        <v>0.93804510970534583</v>
      </c>
    </row>
    <row r="190" spans="2:34" ht="21">
      <c r="B190" s="19"/>
      <c r="C190" s="14" t="s">
        <v>314</v>
      </c>
      <c r="D190" s="59" t="s">
        <v>315</v>
      </c>
      <c r="E190" s="16" t="s">
        <v>22</v>
      </c>
      <c r="F190" s="22">
        <v>1475.41</v>
      </c>
      <c r="G190" s="22">
        <v>1028.56</v>
      </c>
      <c r="H190" s="22">
        <v>0</v>
      </c>
      <c r="I190" s="22">
        <v>0</v>
      </c>
      <c r="J190" s="22">
        <v>0</v>
      </c>
      <c r="K190" s="22">
        <v>0.4</v>
      </c>
      <c r="L190" s="22">
        <v>0</v>
      </c>
      <c r="M190" s="22">
        <v>0.57999999999999996</v>
      </c>
      <c r="N190" s="22">
        <f>негативка!L8/1000</f>
        <v>51.787644831999998</v>
      </c>
      <c r="O190" s="22">
        <f t="shared" si="19"/>
        <v>51.787644831999998</v>
      </c>
      <c r="P190" s="22">
        <v>0.57999999999999996</v>
      </c>
      <c r="Q190" s="23">
        <v>86.34</v>
      </c>
      <c r="R190" s="22">
        <f>N190</f>
        <v>51.787644831999998</v>
      </c>
      <c r="S190" s="323">
        <v>39.317999999999998</v>
      </c>
      <c r="T190" s="22">
        <f>R190</f>
        <v>51.787644831999998</v>
      </c>
      <c r="U190" s="22">
        <f t="shared" si="39"/>
        <v>86.34</v>
      </c>
      <c r="V190" s="22">
        <f>U190</f>
        <v>86.34</v>
      </c>
      <c r="W190" s="22">
        <f>U190</f>
        <v>86.34</v>
      </c>
      <c r="X190" s="22">
        <v>86.34</v>
      </c>
      <c r="Y190" s="22">
        <f>W190</f>
        <v>86.34</v>
      </c>
      <c r="Z190" s="22">
        <v>550.38</v>
      </c>
      <c r="AA190" s="22">
        <f>Y190</f>
        <v>86.34</v>
      </c>
      <c r="AB190" s="22"/>
      <c r="AC190" s="128" t="e">
        <v>#DIV/0!</v>
      </c>
    </row>
    <row r="191" spans="2:34" ht="21">
      <c r="B191" s="19"/>
      <c r="C191" s="14" t="s">
        <v>316</v>
      </c>
      <c r="D191" s="59" t="s">
        <v>317</v>
      </c>
      <c r="E191" s="16" t="s">
        <v>22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/>
      <c r="O191" s="22">
        <f t="shared" si="19"/>
        <v>0</v>
      </c>
      <c r="P191" s="22">
        <v>0</v>
      </c>
      <c r="Q191" s="23">
        <v>0</v>
      </c>
      <c r="R191" s="22"/>
      <c r="S191" s="323"/>
      <c r="T191" s="22">
        <v>0</v>
      </c>
      <c r="U191" s="22">
        <f t="shared" si="39"/>
        <v>0</v>
      </c>
      <c r="V191" s="22">
        <f>S191</f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128" t="e">
        <v>#DIV/0!</v>
      </c>
    </row>
    <row r="192" spans="2:34" ht="21">
      <c r="B192" s="19"/>
      <c r="C192" s="14" t="s">
        <v>318</v>
      </c>
      <c r="D192" s="59" t="s">
        <v>854</v>
      </c>
      <c r="E192" s="16" t="s">
        <v>22</v>
      </c>
      <c r="F192" s="22">
        <v>5326.36</v>
      </c>
      <c r="G192" s="22">
        <v>5437.14</v>
      </c>
      <c r="H192" s="22">
        <v>5326</v>
      </c>
      <c r="I192" s="22">
        <v>1306.5</v>
      </c>
      <c r="J192" s="22">
        <v>6429.08</v>
      </c>
      <c r="K192" s="22">
        <v>486.75519000000003</v>
      </c>
      <c r="L192" s="22">
        <v>1306.5</v>
      </c>
      <c r="M192" s="22">
        <v>486.75519000000003</v>
      </c>
      <c r="N192" s="22">
        <f>'расшифровки ВО'!L444+0.01</f>
        <v>689.21</v>
      </c>
      <c r="O192" s="22">
        <f t="shared" si="19"/>
        <v>-617.29</v>
      </c>
      <c r="P192" s="22">
        <f>'расшифровки ВО'!M444</f>
        <v>104.75700000000001</v>
      </c>
      <c r="Q192" s="23">
        <v>486.75519000000003</v>
      </c>
      <c r="R192" s="22">
        <f>'расшифровки ВО'!O444</f>
        <v>109.99485000000001</v>
      </c>
      <c r="S192" s="323">
        <v>104.75700000000001</v>
      </c>
      <c r="T192" s="22">
        <f>'расшифровки ВО'!O444</f>
        <v>109.99485000000001</v>
      </c>
      <c r="U192" s="22">
        <f t="shared" si="39"/>
        <v>486.75519000000003</v>
      </c>
      <c r="V192" s="22">
        <f>S192*1.05</f>
        <v>109.99485000000001</v>
      </c>
      <c r="W192" s="22">
        <f>V192</f>
        <v>109.99485000000001</v>
      </c>
      <c r="X192" s="22">
        <v>109.99</v>
      </c>
      <c r="Y192" s="22">
        <f>V192</f>
        <v>109.99485000000001</v>
      </c>
      <c r="Z192" s="22">
        <v>141.78</v>
      </c>
      <c r="AA192" s="22">
        <f>Y192</f>
        <v>109.99485000000001</v>
      </c>
      <c r="AB192" s="22">
        <v>0</v>
      </c>
      <c r="AC192" s="128">
        <v>0.37256424799081517</v>
      </c>
    </row>
    <row r="193" spans="2:30">
      <c r="B193" s="19"/>
      <c r="C193" s="14" t="s">
        <v>320</v>
      </c>
      <c r="D193" s="59" t="s">
        <v>321</v>
      </c>
      <c r="E193" s="16" t="s">
        <v>22</v>
      </c>
      <c r="F193" s="22">
        <v>217</v>
      </c>
      <c r="G193" s="22">
        <v>0</v>
      </c>
      <c r="H193" s="22">
        <v>315.08999999999997</v>
      </c>
      <c r="I193" s="22">
        <v>319.14999999999998</v>
      </c>
      <c r="J193" s="22">
        <v>318.24</v>
      </c>
      <c r="K193" s="22">
        <v>233.08292</v>
      </c>
      <c r="L193" s="22">
        <v>319.14999999999998</v>
      </c>
      <c r="M193" s="22">
        <v>244.73706600000003</v>
      </c>
      <c r="N193" s="22">
        <f>'расшифровки ВО'!L445</f>
        <v>361.32</v>
      </c>
      <c r="O193" s="22">
        <f t="shared" si="19"/>
        <v>42.170000000000016</v>
      </c>
      <c r="P193" s="22">
        <v>256.97391930000003</v>
      </c>
      <c r="Q193" s="23">
        <v>256.97391930000003</v>
      </c>
      <c r="R193" s="22">
        <f>N193</f>
        <v>361.32</v>
      </c>
      <c r="S193" s="323">
        <f>373.169</f>
        <v>373.16899999999998</v>
      </c>
      <c r="T193" s="22">
        <f>'расшифровки ВО'!O445</f>
        <v>373.16899999999998</v>
      </c>
      <c r="U193" s="22">
        <f t="shared" si="39"/>
        <v>256.97391930000003</v>
      </c>
      <c r="V193" s="22">
        <f>S193</f>
        <v>373.16899999999998</v>
      </c>
      <c r="W193" s="22">
        <f>V193</f>
        <v>373.16899999999998</v>
      </c>
      <c r="X193" s="22">
        <v>373.17</v>
      </c>
      <c r="Y193" s="22">
        <f>W193</f>
        <v>373.16899999999998</v>
      </c>
      <c r="Z193" s="22">
        <v>612.66</v>
      </c>
      <c r="AA193" s="22">
        <f>Y193</f>
        <v>373.16899999999998</v>
      </c>
      <c r="AB193" s="22">
        <v>0</v>
      </c>
      <c r="AC193" s="128">
        <v>0.97870407330767906</v>
      </c>
    </row>
    <row r="194" spans="2:30" ht="63" hidden="1">
      <c r="B194" s="19"/>
      <c r="C194" s="14" t="s">
        <v>322</v>
      </c>
      <c r="D194" s="59" t="s">
        <v>323</v>
      </c>
      <c r="E194" s="16" t="s">
        <v>22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>
        <f t="shared" si="19"/>
        <v>0</v>
      </c>
      <c r="P194" s="22"/>
      <c r="Q194" s="23"/>
      <c r="R194" s="23"/>
      <c r="S194" s="323"/>
      <c r="T194" s="22"/>
      <c r="U194" s="22"/>
      <c r="V194" s="22"/>
      <c r="W194" s="22"/>
      <c r="X194" s="22"/>
      <c r="Y194" s="22"/>
      <c r="Z194" s="22"/>
      <c r="AA194" s="22"/>
      <c r="AB194" s="22"/>
      <c r="AC194" s="128" t="e">
        <v>#DIV/0!</v>
      </c>
    </row>
    <row r="195" spans="2:30" ht="84">
      <c r="B195" s="58" t="s">
        <v>171</v>
      </c>
      <c r="C195" s="49" t="s">
        <v>324</v>
      </c>
      <c r="D195" s="49" t="s">
        <v>1292</v>
      </c>
      <c r="E195" s="16" t="s">
        <v>22</v>
      </c>
      <c r="F195" s="22">
        <v>8804.2909</v>
      </c>
      <c r="G195" s="22">
        <v>2291.9010699999999</v>
      </c>
      <c r="H195" s="22">
        <v>9447.259184999999</v>
      </c>
      <c r="I195" s="22">
        <v>1074.6721</v>
      </c>
      <c r="J195" s="22">
        <v>9792.2078391735486</v>
      </c>
      <c r="K195" s="135">
        <v>1068.5855980000001</v>
      </c>
      <c r="L195" s="22">
        <v>1738.77</v>
      </c>
      <c r="M195" s="22">
        <v>1979.8704021250501</v>
      </c>
      <c r="N195" s="22">
        <f>'расшифровки ВО'!L255</f>
        <v>965.64105999999992</v>
      </c>
      <c r="O195" s="22">
        <f t="shared" si="19"/>
        <v>-773.12894000000006</v>
      </c>
      <c r="P195" s="56">
        <v>974.06059309005218</v>
      </c>
      <c r="Q195" s="23"/>
      <c r="R195" s="22">
        <f>'расшифровки ВО'!M255</f>
        <v>1004.2667024</v>
      </c>
      <c r="S195" s="323">
        <f>596.178+494.746+185.654</f>
        <v>1276.578</v>
      </c>
      <c r="T195" s="22">
        <f>'расшифровки ВО'!O255</f>
        <v>1044.4373704959999</v>
      </c>
      <c r="U195" s="22">
        <v>0</v>
      </c>
      <c r="V195" s="22">
        <f>S195</f>
        <v>1276.578</v>
      </c>
      <c r="W195" s="22">
        <f>V195</f>
        <v>1276.578</v>
      </c>
      <c r="X195" s="22">
        <v>1276.58</v>
      </c>
      <c r="Y195" s="22">
        <f>W195</f>
        <v>1276.578</v>
      </c>
      <c r="Z195" s="22">
        <v>0</v>
      </c>
      <c r="AA195" s="22">
        <f>Y195</f>
        <v>1276.578</v>
      </c>
      <c r="AB195" s="22">
        <v>0</v>
      </c>
      <c r="AC195" s="128">
        <v>0.65535586810508273</v>
      </c>
    </row>
    <row r="196" spans="2:30" ht="21" hidden="1">
      <c r="B196" s="58" t="s">
        <v>171</v>
      </c>
      <c r="C196" s="49" t="s">
        <v>326</v>
      </c>
      <c r="D196" s="49" t="s">
        <v>327</v>
      </c>
      <c r="E196" s="16" t="s">
        <v>22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>
        <f t="shared" si="19"/>
        <v>0</v>
      </c>
      <c r="P196" s="22"/>
      <c r="Q196" s="23"/>
      <c r="R196" s="23"/>
      <c r="S196" s="323"/>
      <c r="T196" s="22"/>
      <c r="U196" s="22"/>
      <c r="V196" s="22"/>
      <c r="W196" s="22"/>
      <c r="X196" s="22"/>
      <c r="Y196" s="22"/>
      <c r="Z196" s="22"/>
      <c r="AA196" s="22"/>
      <c r="AB196" s="22"/>
      <c r="AC196" s="128" t="e">
        <v>#DIV/0!</v>
      </c>
    </row>
    <row r="197" spans="2:30" ht="21" hidden="1">
      <c r="B197" s="58" t="s">
        <v>171</v>
      </c>
      <c r="C197" s="49" t="s">
        <v>328</v>
      </c>
      <c r="D197" s="49" t="s">
        <v>329</v>
      </c>
      <c r="E197" s="16" t="s">
        <v>22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>
        <f t="shared" si="19"/>
        <v>0</v>
      </c>
      <c r="P197" s="22"/>
      <c r="Q197" s="23"/>
      <c r="R197" s="23"/>
      <c r="S197" s="323"/>
      <c r="T197" s="22"/>
      <c r="U197" s="22"/>
      <c r="V197" s="22"/>
      <c r="W197" s="22"/>
      <c r="X197" s="22"/>
      <c r="Y197" s="22"/>
      <c r="Z197" s="22"/>
      <c r="AA197" s="22"/>
      <c r="AB197" s="22"/>
      <c r="AC197" s="128" t="e">
        <v>#DIV/0!</v>
      </c>
    </row>
    <row r="198" spans="2:30">
      <c r="B198" s="19"/>
      <c r="C198" s="62"/>
      <c r="D198" s="63"/>
      <c r="E198" s="64"/>
      <c r="F198" s="30"/>
      <c r="G198" s="30"/>
      <c r="H198" s="30"/>
      <c r="I198" s="30"/>
      <c r="J198" s="30"/>
      <c r="K198" s="30"/>
      <c r="L198" s="30"/>
      <c r="M198" s="30"/>
      <c r="N198" s="30"/>
      <c r="O198" s="22">
        <f t="shared" si="19"/>
        <v>0</v>
      </c>
      <c r="P198" s="30"/>
      <c r="Q198" s="31"/>
      <c r="R198" s="31"/>
      <c r="S198" s="851"/>
      <c r="T198" s="30"/>
      <c r="U198" s="30"/>
      <c r="V198" s="30"/>
      <c r="W198" s="30"/>
      <c r="X198" s="30"/>
      <c r="Y198" s="30"/>
      <c r="Z198" s="30"/>
      <c r="AA198" s="30"/>
      <c r="AB198" s="30"/>
      <c r="AC198" s="128" t="e">
        <v>#DIV/0!</v>
      </c>
      <c r="AD198">
        <v>-29289.979999999981</v>
      </c>
    </row>
    <row r="199" spans="2:30">
      <c r="B199" s="19"/>
      <c r="C199" s="49" t="s">
        <v>330</v>
      </c>
      <c r="D199" s="65" t="s">
        <v>331</v>
      </c>
      <c r="E199" s="16" t="s">
        <v>22</v>
      </c>
      <c r="F199" s="66">
        <v>398761.87153873924</v>
      </c>
      <c r="G199" s="66">
        <v>394062.99511389999</v>
      </c>
      <c r="H199" s="66">
        <v>441184.20617651189</v>
      </c>
      <c r="I199" s="66">
        <v>607260.29489680694</v>
      </c>
      <c r="J199" s="66">
        <v>926876.93431987718</v>
      </c>
      <c r="K199" s="66">
        <v>584644.16656183114</v>
      </c>
      <c r="L199" s="66">
        <v>845387.412979063</v>
      </c>
      <c r="M199" s="66">
        <v>730700.69768853951</v>
      </c>
      <c r="N199" s="66">
        <f>N8+N120+N138+N174+N176+N187+N195</f>
        <v>705694.46671803494</v>
      </c>
      <c r="O199" s="22">
        <f t="shared" si="19"/>
        <v>-139692.94626102806</v>
      </c>
      <c r="P199" s="66">
        <v>729665.30023659277</v>
      </c>
      <c r="Q199" s="66">
        <f>Q8+Q120+Q138+Q174+Q176+Q187</f>
        <v>602894.39945794118</v>
      </c>
      <c r="R199" s="66">
        <f t="shared" ref="R199:Z199" si="40">R8+R120+R138+R174+R176+R187+R195</f>
        <v>869921.26960320014</v>
      </c>
      <c r="S199" s="324">
        <f t="shared" si="40"/>
        <v>889958.93125248863</v>
      </c>
      <c r="T199" s="66">
        <f t="shared" si="40"/>
        <v>1083996.248240164</v>
      </c>
      <c r="U199" s="66">
        <f t="shared" si="40"/>
        <v>612959.74196052074</v>
      </c>
      <c r="V199" s="66">
        <f t="shared" si="40"/>
        <v>1017069.6030274447</v>
      </c>
      <c r="W199" s="66">
        <f t="shared" si="40"/>
        <v>1109550.2340852122</v>
      </c>
      <c r="X199" s="66">
        <f t="shared" si="40"/>
        <v>680412.75611859735</v>
      </c>
      <c r="Y199" s="66">
        <f>Y8+Y120+Y138+Y174+Y176+Y187+Y195</f>
        <v>1138210.8247446502</v>
      </c>
      <c r="Z199" s="66">
        <f t="shared" si="40"/>
        <v>715977.20589138765</v>
      </c>
      <c r="AA199" s="66">
        <f>AA8+AA120+AA138+AA174+AA176+AA187+AA195</f>
        <v>1163164.2253862801</v>
      </c>
      <c r="AB199" s="66">
        <v>6.6078297329007218E-4</v>
      </c>
      <c r="AC199" s="128">
        <v>0.95789546192788178</v>
      </c>
    </row>
    <row r="200" spans="2:30">
      <c r="B200" s="19"/>
      <c r="C200" s="62"/>
      <c r="D200" s="63"/>
      <c r="E200" s="64"/>
      <c r="F200" s="30"/>
      <c r="G200" s="30"/>
      <c r="H200" s="30"/>
      <c r="I200" s="30"/>
      <c r="J200" s="30"/>
      <c r="K200" s="30"/>
      <c r="L200" s="30"/>
      <c r="M200" s="30"/>
      <c r="N200" s="30"/>
      <c r="O200" s="22">
        <f t="shared" si="19"/>
        <v>0</v>
      </c>
      <c r="P200" s="30"/>
      <c r="Q200" s="31"/>
      <c r="R200" s="31"/>
      <c r="S200" s="851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2:30" ht="22.5">
      <c r="B201" s="19"/>
      <c r="C201" s="49" t="s">
        <v>332</v>
      </c>
      <c r="D201" s="65" t="s">
        <v>333</v>
      </c>
      <c r="E201" s="16" t="s">
        <v>22</v>
      </c>
      <c r="F201" s="17">
        <v>0</v>
      </c>
      <c r="G201" s="17">
        <v>38978.410000000003</v>
      </c>
      <c r="H201" s="17">
        <v>-12384.07</v>
      </c>
      <c r="I201" s="17">
        <v>0</v>
      </c>
      <c r="J201" s="17">
        <v>-8426.7199999999993</v>
      </c>
      <c r="K201" s="17">
        <v>0</v>
      </c>
      <c r="L201" s="17">
        <v>45958.14</v>
      </c>
      <c r="M201" s="17">
        <v>0</v>
      </c>
      <c r="N201" s="17"/>
      <c r="O201" s="22">
        <f t="shared" si="19"/>
        <v>-45958.14</v>
      </c>
      <c r="P201" s="17">
        <v>338833.0917134948</v>
      </c>
      <c r="Q201" s="18">
        <v>0</v>
      </c>
      <c r="R201" s="18">
        <f>R210</f>
        <v>0</v>
      </c>
      <c r="S201" s="324">
        <v>0</v>
      </c>
      <c r="T201" s="17">
        <f>T210</f>
        <v>133894.94</v>
      </c>
      <c r="U201" s="17">
        <f>U210</f>
        <v>21002.04</v>
      </c>
      <c r="V201" s="17"/>
      <c r="W201" s="17">
        <f>W210</f>
        <v>100000</v>
      </c>
      <c r="X201" s="17">
        <v>0</v>
      </c>
      <c r="Y201" s="17">
        <f>Y210</f>
        <v>100000</v>
      </c>
      <c r="Z201" s="17">
        <v>0</v>
      </c>
      <c r="AA201" s="17">
        <v>0</v>
      </c>
      <c r="AB201" s="17">
        <v>0</v>
      </c>
    </row>
    <row r="202" spans="2:30" ht="21" hidden="1">
      <c r="B202" s="19"/>
      <c r="C202" s="67" t="s">
        <v>617</v>
      </c>
      <c r="D202" s="68" t="s">
        <v>334</v>
      </c>
      <c r="E202" s="69" t="s">
        <v>22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>
        <f t="shared" si="19"/>
        <v>0</v>
      </c>
      <c r="P202" s="22"/>
      <c r="Q202" s="23"/>
      <c r="R202" s="23"/>
      <c r="S202" s="323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2:30" ht="21" hidden="1">
      <c r="B203" s="19"/>
      <c r="C203" s="67" t="s">
        <v>618</v>
      </c>
      <c r="D203" s="68" t="s">
        <v>335</v>
      </c>
      <c r="E203" s="16" t="s">
        <v>22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>
        <f t="shared" si="19"/>
        <v>0</v>
      </c>
      <c r="P203" s="22"/>
      <c r="Q203" s="23"/>
      <c r="R203" s="23"/>
      <c r="S203" s="323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2:30" ht="52.5" hidden="1">
      <c r="B204" s="19"/>
      <c r="C204" s="67" t="s">
        <v>619</v>
      </c>
      <c r="D204" s="68" t="s">
        <v>336</v>
      </c>
      <c r="E204" s="16" t="s">
        <v>22</v>
      </c>
      <c r="F204" s="22"/>
      <c r="G204" s="22">
        <v>38978.410000000003</v>
      </c>
      <c r="H204" s="22"/>
      <c r="I204" s="22"/>
      <c r="J204" s="22"/>
      <c r="K204" s="22"/>
      <c r="L204" s="22"/>
      <c r="M204" s="22"/>
      <c r="N204" s="22"/>
      <c r="O204" s="22">
        <f t="shared" ref="O204:O267" si="41">N204-L204</f>
        <v>0</v>
      </c>
      <c r="P204" s="22"/>
      <c r="Q204" s="23"/>
      <c r="R204" s="23"/>
      <c r="S204" s="323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2:30" ht="31.5" hidden="1">
      <c r="B205" s="19"/>
      <c r="C205" s="67" t="s">
        <v>620</v>
      </c>
      <c r="D205" s="68" t="s">
        <v>535</v>
      </c>
      <c r="E205" s="16" t="s">
        <v>22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/>
      <c r="O205" s="22">
        <f t="shared" si="41"/>
        <v>0</v>
      </c>
      <c r="P205" s="17">
        <v>0</v>
      </c>
      <c r="Q205" s="18">
        <v>0</v>
      </c>
      <c r="R205" s="18"/>
      <c r="S205" s="324"/>
      <c r="T205" s="17">
        <v>0</v>
      </c>
      <c r="U205" s="17">
        <v>0</v>
      </c>
      <c r="V205" s="17"/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</row>
    <row r="206" spans="2:30" ht="31.5" hidden="1">
      <c r="B206" s="19"/>
      <c r="C206" s="67" t="s">
        <v>621</v>
      </c>
      <c r="D206" s="70" t="s">
        <v>338</v>
      </c>
      <c r="E206" s="16" t="s">
        <v>22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f t="shared" si="41"/>
        <v>0</v>
      </c>
      <c r="P206" s="22"/>
      <c r="Q206" s="23"/>
      <c r="R206" s="23"/>
      <c r="S206" s="323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2:30" ht="42" hidden="1">
      <c r="B207" s="19"/>
      <c r="C207" s="67" t="s">
        <v>622</v>
      </c>
      <c r="D207" s="70" t="s">
        <v>339</v>
      </c>
      <c r="E207" s="69" t="s">
        <v>22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>
        <f t="shared" si="41"/>
        <v>0</v>
      </c>
      <c r="P207" s="22"/>
      <c r="Q207" s="23"/>
      <c r="R207" s="23"/>
      <c r="S207" s="323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2:30" ht="63" hidden="1">
      <c r="B208" s="19"/>
      <c r="C208" s="67" t="s">
        <v>623</v>
      </c>
      <c r="D208" s="71" t="s">
        <v>340</v>
      </c>
      <c r="E208" s="69" t="s">
        <v>22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>
        <f t="shared" si="41"/>
        <v>0</v>
      </c>
      <c r="P208" s="22"/>
      <c r="Q208" s="23"/>
      <c r="R208" s="23"/>
      <c r="S208" s="323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2:28">
      <c r="B209" s="19"/>
      <c r="C209" s="62"/>
      <c r="D209" s="73"/>
      <c r="E209" s="64"/>
      <c r="F209" s="74"/>
      <c r="G209" s="74"/>
      <c r="H209" s="74"/>
      <c r="I209" s="74"/>
      <c r="J209" s="74"/>
      <c r="K209" s="74"/>
      <c r="L209" s="74"/>
      <c r="M209" s="74"/>
      <c r="N209" s="74"/>
      <c r="O209" s="22">
        <f t="shared" si="41"/>
        <v>0</v>
      </c>
      <c r="P209" s="74"/>
      <c r="Q209" s="75"/>
      <c r="R209" s="75"/>
      <c r="S209" s="852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2:28">
      <c r="B210" s="19"/>
      <c r="C210" s="67" t="s">
        <v>624</v>
      </c>
      <c r="D210" s="76" t="s">
        <v>1307</v>
      </c>
      <c r="E210" s="69" t="s">
        <v>22</v>
      </c>
      <c r="F210" s="22"/>
      <c r="G210" s="22"/>
      <c r="H210" s="22">
        <v>-12384.07</v>
      </c>
      <c r="I210" s="22"/>
      <c r="J210" s="22">
        <v>-8426.7199999999993</v>
      </c>
      <c r="K210" s="22"/>
      <c r="L210" s="22">
        <v>45958.14</v>
      </c>
      <c r="M210" s="22"/>
      <c r="N210" s="22"/>
      <c r="O210" s="22">
        <f t="shared" si="41"/>
        <v>-45958.14</v>
      </c>
      <c r="P210" s="22">
        <v>338833.0917134948</v>
      </c>
      <c r="Q210" s="23"/>
      <c r="R210" s="23">
        <v>0</v>
      </c>
      <c r="S210" s="323">
        <v>0</v>
      </c>
      <c r="T210" s="22">
        <v>133894.94</v>
      </c>
      <c r="U210" s="22">
        <v>21002.04</v>
      </c>
      <c r="V210" s="22"/>
      <c r="W210" s="22">
        <v>100000</v>
      </c>
      <c r="X210" s="22"/>
      <c r="Y210" s="22">
        <v>100000</v>
      </c>
      <c r="Z210" s="22"/>
      <c r="AA210" s="22"/>
      <c r="AB210" s="22"/>
    </row>
    <row r="211" spans="2:28">
      <c r="B211" s="19"/>
      <c r="C211" s="62"/>
      <c r="D211" s="73"/>
      <c r="E211" s="64"/>
      <c r="F211" s="74"/>
      <c r="G211" s="74"/>
      <c r="H211" s="74"/>
      <c r="I211" s="74"/>
      <c r="J211" s="74"/>
      <c r="K211" s="74"/>
      <c r="L211" s="74"/>
      <c r="M211" s="74"/>
      <c r="N211" s="74"/>
      <c r="O211" s="22">
        <f t="shared" si="41"/>
        <v>0</v>
      </c>
      <c r="P211" s="74"/>
      <c r="Q211" s="75"/>
      <c r="R211" s="75"/>
      <c r="S211" s="852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2:28" ht="31.5">
      <c r="B212" s="19"/>
      <c r="C212" s="49" t="s">
        <v>342</v>
      </c>
      <c r="D212" s="49" t="s">
        <v>343</v>
      </c>
      <c r="E212" s="16" t="s">
        <v>22</v>
      </c>
      <c r="F212" s="22">
        <v>101621.16</v>
      </c>
      <c r="G212" s="22"/>
      <c r="H212" s="22"/>
      <c r="I212" s="22"/>
      <c r="J212" s="22"/>
      <c r="K212" s="22"/>
      <c r="L212" s="22"/>
      <c r="M212" s="22"/>
      <c r="N212" s="22"/>
      <c r="O212" s="22">
        <f t="shared" si="41"/>
        <v>0</v>
      </c>
      <c r="P212" s="22"/>
      <c r="Q212" s="23"/>
      <c r="R212" s="23"/>
      <c r="S212" s="323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2:28">
      <c r="B213" s="19"/>
      <c r="C213" s="49" t="s">
        <v>344</v>
      </c>
      <c r="D213" s="49" t="s">
        <v>345</v>
      </c>
      <c r="E213" s="16" t="s">
        <v>22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>
        <f t="shared" si="41"/>
        <v>0</v>
      </c>
      <c r="P213" s="22"/>
      <c r="Q213" s="23"/>
      <c r="R213" s="22"/>
      <c r="S213" s="323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2:28">
      <c r="B214" s="77" t="s">
        <v>346</v>
      </c>
      <c r="C214" s="49" t="s">
        <v>347</v>
      </c>
      <c r="D214" s="49" t="s">
        <v>348</v>
      </c>
      <c r="E214" s="69" t="s">
        <v>22</v>
      </c>
      <c r="F214" s="17">
        <v>13624.04</v>
      </c>
      <c r="G214" s="17">
        <v>1829.93</v>
      </c>
      <c r="H214" s="17">
        <v>9245.01</v>
      </c>
      <c r="I214" s="17">
        <v>2521.33</v>
      </c>
      <c r="J214" s="17">
        <v>15800</v>
      </c>
      <c r="K214" s="17">
        <v>1483.7600000000002</v>
      </c>
      <c r="L214" s="17">
        <v>1800</v>
      </c>
      <c r="M214" s="17">
        <v>1557.9480000000003</v>
      </c>
      <c r="N214" s="17">
        <f>N218</f>
        <v>3170.6871690000021</v>
      </c>
      <c r="O214" s="22">
        <f t="shared" si="41"/>
        <v>1370.6871690000021</v>
      </c>
      <c r="P214" s="17">
        <v>8820.0521448688214</v>
      </c>
      <c r="Q214" s="18">
        <v>1620.2659200000003</v>
      </c>
      <c r="R214" s="17">
        <f>R218+R216</f>
        <v>3297.5146557600024</v>
      </c>
      <c r="S214" s="324">
        <f>S218+S216</f>
        <v>1620.2659200000003</v>
      </c>
      <c r="T214" s="17">
        <f>T216+T218</f>
        <v>3429.4152419904026</v>
      </c>
      <c r="U214" s="17">
        <f>U218</f>
        <v>1685.0844999999999</v>
      </c>
      <c r="V214" s="17">
        <f>V218</f>
        <v>1620.2659200000003</v>
      </c>
      <c r="W214" s="17">
        <f>W216+W218</f>
        <v>3566.591851670019</v>
      </c>
      <c r="X214" s="17">
        <f>X221</f>
        <v>1896.2</v>
      </c>
      <c r="Y214" s="17">
        <f>Y216+Y218</f>
        <v>3709.2555257368199</v>
      </c>
      <c r="Z214" s="17">
        <f>Z216</f>
        <v>2074.0700000000002</v>
      </c>
      <c r="AA214" s="17">
        <f>AA216+AA218</f>
        <v>3857.6257467662927</v>
      </c>
      <c r="AB214" s="17">
        <v>0</v>
      </c>
    </row>
    <row r="215" spans="2:28">
      <c r="B215" s="19"/>
      <c r="C215" s="62"/>
      <c r="D215" s="78"/>
      <c r="E215" s="64"/>
      <c r="F215" s="74"/>
      <c r="G215" s="74"/>
      <c r="H215" s="74"/>
      <c r="I215" s="74"/>
      <c r="J215" s="74"/>
      <c r="K215" s="74"/>
      <c r="L215" s="74"/>
      <c r="M215" s="74"/>
      <c r="N215" s="74"/>
      <c r="O215" s="22">
        <f t="shared" si="41"/>
        <v>0</v>
      </c>
      <c r="P215" s="74"/>
      <c r="Q215" s="75"/>
      <c r="R215" s="74"/>
      <c r="S215" s="852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2:28" ht="21">
      <c r="B216" s="19"/>
      <c r="C216" s="79" t="s">
        <v>349</v>
      </c>
      <c r="D216" s="15" t="s">
        <v>350</v>
      </c>
      <c r="E216" s="69" t="s">
        <v>22</v>
      </c>
      <c r="F216" s="22">
        <v>11800</v>
      </c>
      <c r="G216" s="22">
        <v>0</v>
      </c>
      <c r="H216" s="22">
        <v>7435.15</v>
      </c>
      <c r="I216" s="22">
        <v>721.33</v>
      </c>
      <c r="J216" s="22">
        <v>13912.31</v>
      </c>
      <c r="K216" s="22"/>
      <c r="L216" s="22"/>
      <c r="M216" s="22"/>
      <c r="N216" s="22"/>
      <c r="O216" s="22">
        <f t="shared" si="41"/>
        <v>0</v>
      </c>
      <c r="P216" s="22">
        <v>0</v>
      </c>
      <c r="Q216" s="23">
        <v>0</v>
      </c>
      <c r="R216" s="22">
        <v>0</v>
      </c>
      <c r="S216" s="323"/>
      <c r="T216" s="22">
        <v>0</v>
      </c>
      <c r="U216" s="22">
        <v>0</v>
      </c>
      <c r="V216" s="22"/>
      <c r="W216" s="22">
        <v>0</v>
      </c>
      <c r="X216" s="22">
        <v>0</v>
      </c>
      <c r="Y216" s="22">
        <v>0</v>
      </c>
      <c r="Z216" s="22">
        <f>Z218</f>
        <v>2074.0700000000002</v>
      </c>
      <c r="AA216" s="22">
        <v>0</v>
      </c>
      <c r="AB216" s="22">
        <v>0</v>
      </c>
    </row>
    <row r="217" spans="2:28" ht="21">
      <c r="B217" s="19"/>
      <c r="C217" s="79" t="s">
        <v>351</v>
      </c>
      <c r="D217" s="80" t="s">
        <v>352</v>
      </c>
      <c r="E217" s="69" t="s">
        <v>353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22">
        <f t="shared" si="41"/>
        <v>0</v>
      </c>
      <c r="P217" s="81">
        <v>0.01</v>
      </c>
      <c r="Q217" s="82">
        <v>0.01</v>
      </c>
      <c r="R217" s="81"/>
      <c r="S217" s="853"/>
      <c r="T217" s="81">
        <v>0.01</v>
      </c>
      <c r="U217" s="81">
        <v>0.01</v>
      </c>
      <c r="V217" s="81"/>
      <c r="W217" s="81">
        <v>0.01</v>
      </c>
      <c r="X217" s="81">
        <v>0.01</v>
      </c>
      <c r="Y217" s="81">
        <v>0.01</v>
      </c>
      <c r="Z217" s="81">
        <v>0.01</v>
      </c>
      <c r="AA217" s="81">
        <v>0.01</v>
      </c>
      <c r="AB217" s="81">
        <v>0.01</v>
      </c>
    </row>
    <row r="218" spans="2:28" ht="31.5">
      <c r="B218" s="19"/>
      <c r="C218" s="79" t="s">
        <v>354</v>
      </c>
      <c r="D218" s="15" t="s">
        <v>355</v>
      </c>
      <c r="E218" s="69" t="s">
        <v>22</v>
      </c>
      <c r="F218" s="22">
        <v>1824.04</v>
      </c>
      <c r="G218" s="22">
        <v>1829.93</v>
      </c>
      <c r="H218" s="22">
        <v>1809.86</v>
      </c>
      <c r="I218" s="22">
        <v>1800</v>
      </c>
      <c r="J218" s="22">
        <v>1887.69</v>
      </c>
      <c r="K218" s="22">
        <v>1483.7600000000002</v>
      </c>
      <c r="L218" s="22">
        <v>1800</v>
      </c>
      <c r="M218" s="22">
        <v>1557.9480000000003</v>
      </c>
      <c r="N218" s="22">
        <f>N221</f>
        <v>3170.6871690000021</v>
      </c>
      <c r="O218" s="22">
        <f t="shared" si="41"/>
        <v>1370.6871690000021</v>
      </c>
      <c r="P218" s="22">
        <v>1620.2659200000003</v>
      </c>
      <c r="Q218" s="23">
        <v>1620.2659200000003</v>
      </c>
      <c r="R218" s="22">
        <f>R221</f>
        <v>3297.5146557600024</v>
      </c>
      <c r="S218" s="323">
        <f>Q218</f>
        <v>1620.2659200000003</v>
      </c>
      <c r="T218" s="22">
        <f>T221</f>
        <v>3429.4152419904026</v>
      </c>
      <c r="U218" s="22">
        <f>U221</f>
        <v>1685.0844999999999</v>
      </c>
      <c r="V218" s="22">
        <f>S218</f>
        <v>1620.2659200000003</v>
      </c>
      <c r="W218" s="22">
        <f>W221</f>
        <v>3566.591851670019</v>
      </c>
      <c r="X218" s="22">
        <f>X221</f>
        <v>1896.2</v>
      </c>
      <c r="Y218" s="22">
        <f>Y221</f>
        <v>3709.2555257368199</v>
      </c>
      <c r="Z218" s="22">
        <f>Z221</f>
        <v>2074.0700000000002</v>
      </c>
      <c r="AA218" s="22">
        <f>AA221</f>
        <v>3857.6257467662927</v>
      </c>
      <c r="AB218" s="22">
        <v>0</v>
      </c>
    </row>
    <row r="219" spans="2:28" ht="126" hidden="1">
      <c r="B219" s="19"/>
      <c r="C219" s="79" t="s">
        <v>356</v>
      </c>
      <c r="D219" s="80" t="s">
        <v>357</v>
      </c>
      <c r="E219" s="69" t="s">
        <v>353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22">
        <f t="shared" si="41"/>
        <v>0</v>
      </c>
      <c r="P219" s="74"/>
      <c r="Q219" s="75"/>
      <c r="R219" s="74"/>
      <c r="S219" s="852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2:28" ht="178.5" hidden="1">
      <c r="B220" s="19"/>
      <c r="C220" s="79" t="s">
        <v>358</v>
      </c>
      <c r="D220" s="80" t="s">
        <v>359</v>
      </c>
      <c r="E220" s="69" t="s">
        <v>22</v>
      </c>
      <c r="F220" s="22">
        <v>0</v>
      </c>
      <c r="G220" s="22">
        <v>0</v>
      </c>
      <c r="H220" s="22">
        <v>0</v>
      </c>
      <c r="I220" s="22"/>
      <c r="J220" s="22"/>
      <c r="K220" s="22"/>
      <c r="L220" s="22"/>
      <c r="M220" s="22"/>
      <c r="N220" s="22"/>
      <c r="O220" s="22">
        <f t="shared" si="41"/>
        <v>0</v>
      </c>
      <c r="P220" s="22"/>
      <c r="Q220" s="23"/>
      <c r="R220" s="22"/>
      <c r="S220" s="323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2:28" ht="72">
      <c r="B221" s="19"/>
      <c r="C221" s="79" t="s">
        <v>360</v>
      </c>
      <c r="D221" s="691" t="s">
        <v>361</v>
      </c>
      <c r="E221" s="69" t="s">
        <v>22</v>
      </c>
      <c r="F221" s="22">
        <v>1824.06</v>
      </c>
      <c r="G221" s="22">
        <v>1829.93</v>
      </c>
      <c r="H221" s="22">
        <v>1809.86</v>
      </c>
      <c r="I221" s="22">
        <v>1800</v>
      </c>
      <c r="J221" s="22">
        <v>1887.69</v>
      </c>
      <c r="K221" s="22">
        <v>1483.7600000000002</v>
      </c>
      <c r="L221" s="22">
        <v>1800</v>
      </c>
      <c r="M221" s="22">
        <v>1557.9480000000003</v>
      </c>
      <c r="N221" s="22">
        <f>'соц выплаты 2018'!G54</f>
        <v>3170.6871690000021</v>
      </c>
      <c r="O221" s="22">
        <f t="shared" si="41"/>
        <v>1370.6871690000021</v>
      </c>
      <c r="P221" s="22">
        <v>1620.2659200000003</v>
      </c>
      <c r="Q221" s="23">
        <v>1620.2659200000003</v>
      </c>
      <c r="R221" s="22">
        <f>N221*1.04</f>
        <v>3297.5146557600024</v>
      </c>
      <c r="S221" s="323"/>
      <c r="T221" s="22">
        <f>R221*1.04</f>
        <v>3429.4152419904026</v>
      </c>
      <c r="U221" s="22">
        <v>1685.0844999999999</v>
      </c>
      <c r="V221" s="22">
        <f>V218</f>
        <v>1620.2659200000003</v>
      </c>
      <c r="W221" s="22">
        <f>T221*1.04</f>
        <v>3566.591851670019</v>
      </c>
      <c r="X221" s="22">
        <f>'Расчет ВО методом индекс ВО'!V28</f>
        <v>1896.2</v>
      </c>
      <c r="Y221" s="22">
        <f>W221*1.04</f>
        <v>3709.2555257368199</v>
      </c>
      <c r="Z221" s="22">
        <v>2074.0700000000002</v>
      </c>
      <c r="AA221" s="22">
        <f>Y221*1.04</f>
        <v>3857.6257467662927</v>
      </c>
      <c r="AB221" s="22"/>
    </row>
    <row r="222" spans="2:28" ht="21">
      <c r="B222" s="19"/>
      <c r="C222" s="79" t="s">
        <v>362</v>
      </c>
      <c r="D222" s="80" t="s">
        <v>363</v>
      </c>
      <c r="E222" s="69" t="s">
        <v>353</v>
      </c>
      <c r="F222" s="74">
        <v>20</v>
      </c>
      <c r="G222" s="74">
        <v>20</v>
      </c>
      <c r="H222" s="74">
        <v>20</v>
      </c>
      <c r="I222" s="74">
        <v>20</v>
      </c>
      <c r="J222" s="74">
        <v>20</v>
      </c>
      <c r="K222" s="74">
        <v>20</v>
      </c>
      <c r="L222" s="74">
        <v>20</v>
      </c>
      <c r="M222" s="74">
        <v>20</v>
      </c>
      <c r="N222" s="74"/>
      <c r="O222" s="22">
        <f t="shared" si="41"/>
        <v>-20</v>
      </c>
      <c r="P222" s="74">
        <v>20</v>
      </c>
      <c r="Q222" s="75">
        <v>20</v>
      </c>
      <c r="R222" s="75"/>
      <c r="S222" s="852"/>
      <c r="T222" s="74">
        <v>20</v>
      </c>
      <c r="U222" s="74">
        <v>20</v>
      </c>
      <c r="V222" s="74"/>
      <c r="W222" s="74">
        <v>20</v>
      </c>
      <c r="X222" s="74">
        <v>20</v>
      </c>
      <c r="Y222" s="74">
        <v>20</v>
      </c>
      <c r="Z222" s="74">
        <v>20</v>
      </c>
      <c r="AA222" s="74">
        <v>20</v>
      </c>
      <c r="AB222" s="74"/>
    </row>
    <row r="223" spans="2:28">
      <c r="B223" s="19"/>
      <c r="C223" s="62"/>
      <c r="D223" s="78"/>
      <c r="E223" s="64"/>
      <c r="F223" s="74"/>
      <c r="G223" s="74"/>
      <c r="H223" s="74"/>
      <c r="I223" s="74"/>
      <c r="J223" s="74"/>
      <c r="K223" s="74"/>
      <c r="L223" s="74"/>
      <c r="M223" s="74"/>
      <c r="N223" s="74"/>
      <c r="O223" s="22">
        <f t="shared" si="41"/>
        <v>0</v>
      </c>
      <c r="P223" s="74"/>
      <c r="Q223" s="75"/>
      <c r="R223" s="75"/>
      <c r="S223" s="852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2:28" ht="21" hidden="1">
      <c r="B224" s="19"/>
      <c r="C224" s="79" t="s">
        <v>364</v>
      </c>
      <c r="D224" s="80" t="s">
        <v>365</v>
      </c>
      <c r="E224" s="69" t="s">
        <v>22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>
        <f t="shared" si="41"/>
        <v>0</v>
      </c>
      <c r="P224" s="22"/>
      <c r="Q224" s="23"/>
      <c r="R224" s="23"/>
      <c r="S224" s="323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2:28" ht="21" hidden="1">
      <c r="B225" s="19"/>
      <c r="C225" s="79" t="s">
        <v>366</v>
      </c>
      <c r="D225" s="80" t="s">
        <v>365</v>
      </c>
      <c r="E225" s="69" t="s">
        <v>353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22">
        <f t="shared" si="41"/>
        <v>0</v>
      </c>
      <c r="P225" s="74"/>
      <c r="Q225" s="75"/>
      <c r="R225" s="75"/>
      <c r="S225" s="852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2:28" ht="31.5" hidden="1">
      <c r="B226" s="19"/>
      <c r="C226" s="83"/>
      <c r="D226" s="49" t="s">
        <v>367</v>
      </c>
      <c r="E226" s="64"/>
      <c r="F226" s="74"/>
      <c r="G226" s="74"/>
      <c r="H226" s="74"/>
      <c r="I226" s="74"/>
      <c r="J226" s="74"/>
      <c r="K226" s="74"/>
      <c r="L226" s="74"/>
      <c r="M226" s="74"/>
      <c r="N226" s="74"/>
      <c r="O226" s="22">
        <f t="shared" si="41"/>
        <v>0</v>
      </c>
      <c r="P226" s="74"/>
      <c r="Q226" s="75"/>
      <c r="R226" s="75"/>
      <c r="S226" s="852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2:28" hidden="1" outlineLevel="1">
      <c r="B227" s="19"/>
      <c r="C227" s="79" t="s">
        <v>368</v>
      </c>
      <c r="D227" s="84" t="s">
        <v>369</v>
      </c>
      <c r="E227" s="69" t="s">
        <v>22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/>
      <c r="O227" s="22">
        <f t="shared" si="41"/>
        <v>0</v>
      </c>
      <c r="P227" s="17">
        <v>0</v>
      </c>
      <c r="Q227" s="18">
        <v>0</v>
      </c>
      <c r="R227" s="18"/>
      <c r="S227" s="324"/>
      <c r="T227" s="17">
        <v>0</v>
      </c>
      <c r="U227" s="17">
        <v>0</v>
      </c>
      <c r="V227" s="17"/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</row>
    <row r="228" spans="2:28" ht="21" hidden="1" outlineLevel="1">
      <c r="B228" s="19"/>
      <c r="C228" s="79" t="s">
        <v>370</v>
      </c>
      <c r="D228" s="85" t="s">
        <v>625</v>
      </c>
      <c r="E228" s="69" t="s">
        <v>22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>
        <f t="shared" si="41"/>
        <v>0</v>
      </c>
      <c r="P228" s="22"/>
      <c r="Q228" s="23"/>
      <c r="R228" s="23"/>
      <c r="S228" s="323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2:28" ht="21" hidden="1" outlineLevel="1">
      <c r="B229" s="19"/>
      <c r="C229" s="79" t="s">
        <v>371</v>
      </c>
      <c r="D229" s="85" t="s">
        <v>626</v>
      </c>
      <c r="E229" s="69" t="s">
        <v>22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>
        <f t="shared" si="41"/>
        <v>0</v>
      </c>
      <c r="P229" s="22"/>
      <c r="Q229" s="23"/>
      <c r="R229" s="23"/>
      <c r="S229" s="323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2:28" ht="21" hidden="1" outlineLevel="1">
      <c r="B230" s="19"/>
      <c r="C230" s="79" t="s">
        <v>372</v>
      </c>
      <c r="D230" s="85" t="s">
        <v>627</v>
      </c>
      <c r="E230" s="69" t="s">
        <v>22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>
        <f t="shared" si="41"/>
        <v>0</v>
      </c>
      <c r="P230" s="22"/>
      <c r="Q230" s="23"/>
      <c r="R230" s="23"/>
      <c r="S230" s="323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2:28" ht="21" hidden="1" outlineLevel="1">
      <c r="B231" s="19"/>
      <c r="C231" s="79" t="s">
        <v>373</v>
      </c>
      <c r="D231" s="80" t="s">
        <v>374</v>
      </c>
      <c r="E231" s="69" t="s">
        <v>22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>
        <f t="shared" si="41"/>
        <v>0</v>
      </c>
      <c r="P231" s="22"/>
      <c r="Q231" s="23"/>
      <c r="R231" s="23"/>
      <c r="S231" s="323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2:28" ht="21" hidden="1" outlineLevel="1">
      <c r="B232" s="19"/>
      <c r="C232" s="79" t="s">
        <v>375</v>
      </c>
      <c r="D232" s="84" t="s">
        <v>376</v>
      </c>
      <c r="E232" s="69" t="s">
        <v>22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/>
      <c r="O232" s="22">
        <f t="shared" si="41"/>
        <v>0</v>
      </c>
      <c r="P232" s="17">
        <v>0</v>
      </c>
      <c r="Q232" s="18">
        <v>0</v>
      </c>
      <c r="R232" s="18"/>
      <c r="S232" s="324"/>
      <c r="T232" s="17">
        <v>0</v>
      </c>
      <c r="U232" s="17">
        <v>0</v>
      </c>
      <c r="V232" s="17"/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</row>
    <row r="233" spans="2:28" ht="31.5" hidden="1" outlineLevel="1">
      <c r="B233" s="19"/>
      <c r="C233" s="79" t="s">
        <v>377</v>
      </c>
      <c r="D233" s="80" t="s">
        <v>378</v>
      </c>
      <c r="E233" s="69" t="s">
        <v>22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>
        <f t="shared" si="41"/>
        <v>0</v>
      </c>
      <c r="P233" s="22"/>
      <c r="Q233" s="23"/>
      <c r="R233" s="23"/>
      <c r="S233" s="323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2:28" ht="31.5" hidden="1" outlineLevel="1">
      <c r="B234" s="19"/>
      <c r="C234" s="79" t="s">
        <v>379</v>
      </c>
      <c r="D234" s="86" t="s">
        <v>380</v>
      </c>
      <c r="E234" s="69" t="s">
        <v>22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>
        <f t="shared" si="41"/>
        <v>0</v>
      </c>
      <c r="P234" s="22"/>
      <c r="Q234" s="23"/>
      <c r="R234" s="23"/>
      <c r="S234" s="323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2:28" ht="21" hidden="1" outlineLevel="1">
      <c r="B235" s="19"/>
      <c r="C235" s="79" t="s">
        <v>381</v>
      </c>
      <c r="D235" s="80" t="s">
        <v>382</v>
      </c>
      <c r="E235" s="69" t="s">
        <v>22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>
        <f t="shared" si="41"/>
        <v>0</v>
      </c>
      <c r="P235" s="22"/>
      <c r="Q235" s="23"/>
      <c r="R235" s="23"/>
      <c r="S235" s="323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2:28" ht="21" hidden="1" outlineLevel="1">
      <c r="B236" s="19"/>
      <c r="C236" s="79" t="s">
        <v>383</v>
      </c>
      <c r="D236" s="80" t="s">
        <v>348</v>
      </c>
      <c r="E236" s="69" t="s">
        <v>22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>
        <f t="shared" si="41"/>
        <v>0</v>
      </c>
      <c r="P236" s="22"/>
      <c r="Q236" s="23"/>
      <c r="R236" s="23"/>
      <c r="S236" s="323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2:28" ht="21" hidden="1" outlineLevel="1">
      <c r="B237" s="19"/>
      <c r="C237" s="79" t="s">
        <v>384</v>
      </c>
      <c r="D237" s="80" t="s">
        <v>385</v>
      </c>
      <c r="E237" s="69" t="s">
        <v>22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>
        <f t="shared" si="41"/>
        <v>0</v>
      </c>
      <c r="P237" s="22"/>
      <c r="Q237" s="23"/>
      <c r="R237" s="23"/>
      <c r="S237" s="323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2:28" ht="21" hidden="1" outlineLevel="1">
      <c r="B238" s="19"/>
      <c r="C238" s="79" t="s">
        <v>386</v>
      </c>
      <c r="D238" s="80" t="s">
        <v>387</v>
      </c>
      <c r="E238" s="69" t="s">
        <v>22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>
        <f t="shared" si="41"/>
        <v>0</v>
      </c>
      <c r="P238" s="22"/>
      <c r="Q238" s="23"/>
      <c r="R238" s="23"/>
      <c r="S238" s="323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2:28" ht="21" hidden="1" outlineLevel="1">
      <c r="B239" s="19"/>
      <c r="C239" s="79" t="s">
        <v>388</v>
      </c>
      <c r="D239" s="80" t="s">
        <v>389</v>
      </c>
      <c r="E239" s="69" t="s">
        <v>22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>
        <f t="shared" si="41"/>
        <v>0</v>
      </c>
      <c r="P239" s="22"/>
      <c r="Q239" s="23"/>
      <c r="R239" s="23"/>
      <c r="S239" s="323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2:28" ht="21" hidden="1" outlineLevel="1">
      <c r="B240" s="19"/>
      <c r="C240" s="79" t="s">
        <v>390</v>
      </c>
      <c r="D240" s="80" t="s">
        <v>300</v>
      </c>
      <c r="E240" s="69" t="s">
        <v>22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>
        <f t="shared" si="41"/>
        <v>0</v>
      </c>
      <c r="P240" s="22"/>
      <c r="Q240" s="23"/>
      <c r="R240" s="23"/>
      <c r="S240" s="323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2:28" ht="21" hidden="1" outlineLevel="1">
      <c r="B241" s="19"/>
      <c r="C241" s="79" t="s">
        <v>391</v>
      </c>
      <c r="D241" s="80" t="s">
        <v>392</v>
      </c>
      <c r="E241" s="69" t="s">
        <v>22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>
        <f t="shared" si="41"/>
        <v>0</v>
      </c>
      <c r="P241" s="22"/>
      <c r="Q241" s="23"/>
      <c r="R241" s="23"/>
      <c r="S241" s="323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2:28" ht="21" hidden="1" outlineLevel="1">
      <c r="B242" s="19"/>
      <c r="C242" s="79" t="s">
        <v>393</v>
      </c>
      <c r="D242" s="80" t="s">
        <v>394</v>
      </c>
      <c r="E242" s="69" t="s">
        <v>22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>
        <f t="shared" si="41"/>
        <v>0</v>
      </c>
      <c r="P242" s="22"/>
      <c r="Q242" s="23"/>
      <c r="R242" s="23"/>
      <c r="S242" s="323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2:28" ht="21" hidden="1" outlineLevel="1">
      <c r="B243" s="19"/>
      <c r="C243" s="79" t="s">
        <v>395</v>
      </c>
      <c r="D243" s="80" t="s">
        <v>396</v>
      </c>
      <c r="E243" s="69" t="s">
        <v>22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>
        <f t="shared" si="41"/>
        <v>0</v>
      </c>
      <c r="P243" s="22"/>
      <c r="Q243" s="23"/>
      <c r="R243" s="23"/>
      <c r="S243" s="323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2:28" ht="42" hidden="1" collapsed="1">
      <c r="B244" s="64"/>
      <c r="C244" s="83"/>
      <c r="D244" s="49" t="s">
        <v>397</v>
      </c>
      <c r="E244" s="64"/>
      <c r="F244" s="30"/>
      <c r="G244" s="30"/>
      <c r="H244" s="30"/>
      <c r="I244" s="30"/>
      <c r="J244" s="30"/>
      <c r="K244" s="30"/>
      <c r="L244" s="30"/>
      <c r="M244" s="30"/>
      <c r="N244" s="30"/>
      <c r="O244" s="22">
        <f t="shared" si="41"/>
        <v>0</v>
      </c>
      <c r="P244" s="30"/>
      <c r="Q244" s="31"/>
      <c r="R244" s="31"/>
      <c r="S244" s="851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2:28" hidden="1" outlineLevel="2">
      <c r="B245" s="87" t="s">
        <v>171</v>
      </c>
      <c r="C245" s="14" t="s">
        <v>398</v>
      </c>
      <c r="D245" s="88" t="s">
        <v>399</v>
      </c>
      <c r="E245" s="69" t="s">
        <v>22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>
        <f t="shared" si="41"/>
        <v>0</v>
      </c>
      <c r="P245" s="22"/>
      <c r="Q245" s="23"/>
      <c r="R245" s="23"/>
      <c r="S245" s="323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2:28" hidden="1" outlineLevel="2">
      <c r="B246" s="19"/>
      <c r="C246" s="28" t="s">
        <v>628</v>
      </c>
      <c r="D246" s="89" t="s">
        <v>400</v>
      </c>
      <c r="E246" s="69" t="s">
        <v>22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>
        <f t="shared" si="41"/>
        <v>0</v>
      </c>
      <c r="P246" s="22"/>
      <c r="Q246" s="23"/>
      <c r="R246" s="23"/>
      <c r="S246" s="323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2:28" ht="21" hidden="1" outlineLevel="2">
      <c r="B247" s="87" t="s">
        <v>171</v>
      </c>
      <c r="C247" s="14" t="s">
        <v>401</v>
      </c>
      <c r="D247" s="88" t="s">
        <v>402</v>
      </c>
      <c r="E247" s="69" t="s">
        <v>22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>
        <f t="shared" si="41"/>
        <v>0</v>
      </c>
      <c r="P247" s="22"/>
      <c r="Q247" s="23"/>
      <c r="R247" s="23"/>
      <c r="S247" s="323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2:28" hidden="1" outlineLevel="2">
      <c r="B248" s="19"/>
      <c r="C248" s="90"/>
      <c r="D248" s="78"/>
      <c r="E248" s="90"/>
      <c r="F248" s="30"/>
      <c r="G248" s="30"/>
      <c r="H248" s="30"/>
      <c r="I248" s="30"/>
      <c r="J248" s="30"/>
      <c r="K248" s="30"/>
      <c r="L248" s="30"/>
      <c r="M248" s="30"/>
      <c r="N248" s="30"/>
      <c r="O248" s="22">
        <f t="shared" si="41"/>
        <v>0</v>
      </c>
      <c r="P248" s="30"/>
      <c r="Q248" s="31"/>
      <c r="R248" s="31"/>
      <c r="S248" s="851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2:28" ht="21" hidden="1" outlineLevel="2">
      <c r="B249" s="87" t="s">
        <v>171</v>
      </c>
      <c r="C249" s="14" t="s">
        <v>403</v>
      </c>
      <c r="D249" s="88" t="s">
        <v>404</v>
      </c>
      <c r="E249" s="16" t="s">
        <v>22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>
        <f t="shared" si="41"/>
        <v>0</v>
      </c>
      <c r="P249" s="22"/>
      <c r="Q249" s="23"/>
      <c r="R249" s="23"/>
      <c r="S249" s="323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2:28" hidden="1" outlineLevel="2">
      <c r="B250" s="19"/>
      <c r="C250" s="28" t="s">
        <v>629</v>
      </c>
      <c r="D250" s="89" t="s">
        <v>400</v>
      </c>
      <c r="E250" s="16" t="s">
        <v>22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>
        <f t="shared" si="41"/>
        <v>0</v>
      </c>
      <c r="P250" s="22"/>
      <c r="Q250" s="23"/>
      <c r="R250" s="23"/>
      <c r="S250" s="323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2:28" ht="21" hidden="1" outlineLevel="2">
      <c r="B251" s="87" t="s">
        <v>171</v>
      </c>
      <c r="C251" s="14" t="s">
        <v>405</v>
      </c>
      <c r="D251" s="88" t="s">
        <v>406</v>
      </c>
      <c r="E251" s="16" t="s">
        <v>22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>
        <f t="shared" si="41"/>
        <v>0</v>
      </c>
      <c r="P251" s="22"/>
      <c r="Q251" s="23"/>
      <c r="R251" s="23"/>
      <c r="S251" s="323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2:28" hidden="1" outlineLevel="2">
      <c r="B252" s="19"/>
      <c r="C252" s="28" t="s">
        <v>630</v>
      </c>
      <c r="D252" s="89" t="s">
        <v>400</v>
      </c>
      <c r="E252" s="16" t="s">
        <v>22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>
        <f t="shared" si="41"/>
        <v>0</v>
      </c>
      <c r="P252" s="22"/>
      <c r="Q252" s="23"/>
      <c r="R252" s="23"/>
      <c r="S252" s="323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2:28" ht="21" hidden="1" outlineLevel="2">
      <c r="B253" s="87" t="s">
        <v>171</v>
      </c>
      <c r="C253" s="14" t="s">
        <v>407</v>
      </c>
      <c r="D253" s="88" t="s">
        <v>408</v>
      </c>
      <c r="E253" s="16" t="s">
        <v>22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>
        <f t="shared" si="41"/>
        <v>0</v>
      </c>
      <c r="P253" s="22"/>
      <c r="Q253" s="23"/>
      <c r="R253" s="23"/>
      <c r="S253" s="323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2:28" hidden="1" outlineLevel="2">
      <c r="B254" s="19"/>
      <c r="C254" s="28" t="s">
        <v>631</v>
      </c>
      <c r="D254" s="89" t="s">
        <v>400</v>
      </c>
      <c r="E254" s="16" t="s">
        <v>22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>
        <f t="shared" si="41"/>
        <v>0</v>
      </c>
      <c r="P254" s="22"/>
      <c r="Q254" s="23"/>
      <c r="R254" s="23"/>
      <c r="S254" s="323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2:28" ht="21" hidden="1" outlineLevel="2">
      <c r="B255" s="87" t="s">
        <v>171</v>
      </c>
      <c r="C255" s="14" t="s">
        <v>409</v>
      </c>
      <c r="D255" s="88" t="s">
        <v>410</v>
      </c>
      <c r="E255" s="16" t="s">
        <v>22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>
        <f t="shared" si="41"/>
        <v>0</v>
      </c>
      <c r="P255" s="22"/>
      <c r="Q255" s="23"/>
      <c r="R255" s="23"/>
      <c r="S255" s="323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2:28" hidden="1" outlineLevel="2">
      <c r="B256" s="19"/>
      <c r="C256" s="28" t="s">
        <v>632</v>
      </c>
      <c r="D256" s="89" t="s">
        <v>400</v>
      </c>
      <c r="E256" s="16" t="s">
        <v>22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>
        <f t="shared" si="41"/>
        <v>0</v>
      </c>
      <c r="P256" s="22"/>
      <c r="Q256" s="23"/>
      <c r="R256" s="23"/>
      <c r="S256" s="323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2:28" ht="21" hidden="1" outlineLevel="2">
      <c r="B257" s="87" t="s">
        <v>171</v>
      </c>
      <c r="C257" s="14" t="s">
        <v>411</v>
      </c>
      <c r="D257" s="88" t="s">
        <v>412</v>
      </c>
      <c r="E257" s="16" t="s">
        <v>22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>
        <f t="shared" si="41"/>
        <v>0</v>
      </c>
      <c r="P257" s="22"/>
      <c r="Q257" s="23"/>
      <c r="R257" s="23"/>
      <c r="S257" s="323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2:28" hidden="1" outlineLevel="2">
      <c r="B258" s="19"/>
      <c r="C258" s="28" t="s">
        <v>633</v>
      </c>
      <c r="D258" s="89" t="s">
        <v>400</v>
      </c>
      <c r="E258" s="16" t="s">
        <v>22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>
        <f t="shared" si="41"/>
        <v>0</v>
      </c>
      <c r="P258" s="22"/>
      <c r="Q258" s="23"/>
      <c r="R258" s="23"/>
      <c r="S258" s="323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2:28" ht="21" hidden="1" outlineLevel="2">
      <c r="B259" s="87" t="s">
        <v>171</v>
      </c>
      <c r="C259" s="14" t="s">
        <v>413</v>
      </c>
      <c r="D259" s="88" t="s">
        <v>414</v>
      </c>
      <c r="E259" s="16" t="s">
        <v>22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>
        <f t="shared" si="41"/>
        <v>0</v>
      </c>
      <c r="P259" s="22"/>
      <c r="Q259" s="23"/>
      <c r="R259" s="23"/>
      <c r="S259" s="323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2:28" hidden="1" outlineLevel="2">
      <c r="B260" s="19"/>
      <c r="C260" s="28" t="s">
        <v>634</v>
      </c>
      <c r="D260" s="89" t="s">
        <v>400</v>
      </c>
      <c r="E260" s="16" t="s">
        <v>22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>
        <f t="shared" si="41"/>
        <v>0</v>
      </c>
      <c r="P260" s="22"/>
      <c r="Q260" s="23"/>
      <c r="R260" s="23"/>
      <c r="S260" s="323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2:28" ht="21" hidden="1" outlineLevel="2">
      <c r="B261" s="87" t="s">
        <v>171</v>
      </c>
      <c r="C261" s="14" t="s">
        <v>415</v>
      </c>
      <c r="D261" s="88" t="s">
        <v>416</v>
      </c>
      <c r="E261" s="16" t="s">
        <v>22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>
        <f t="shared" si="41"/>
        <v>0</v>
      </c>
      <c r="P261" s="22"/>
      <c r="Q261" s="23"/>
      <c r="R261" s="23"/>
      <c r="S261" s="323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2:28" hidden="1" outlineLevel="2">
      <c r="B262" s="19"/>
      <c r="C262" s="28" t="s">
        <v>635</v>
      </c>
      <c r="D262" s="89" t="s">
        <v>400</v>
      </c>
      <c r="E262" s="16" t="s">
        <v>22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>
        <f t="shared" si="41"/>
        <v>0</v>
      </c>
      <c r="P262" s="22"/>
      <c r="Q262" s="23"/>
      <c r="R262" s="23"/>
      <c r="S262" s="323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2:28" hidden="1" collapsed="1">
      <c r="B263" s="19"/>
      <c r="C263" s="90"/>
      <c r="D263" s="90"/>
      <c r="E263" s="90"/>
      <c r="F263" s="74"/>
      <c r="G263" s="74"/>
      <c r="H263" s="74"/>
      <c r="I263" s="74"/>
      <c r="J263" s="74"/>
      <c r="K263" s="74"/>
      <c r="L263" s="74"/>
      <c r="M263" s="74"/>
      <c r="N263" s="74"/>
      <c r="O263" s="22">
        <f t="shared" si="41"/>
        <v>0</v>
      </c>
      <c r="P263" s="74"/>
      <c r="Q263" s="75"/>
      <c r="R263" s="75"/>
      <c r="S263" s="852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2:28" hidden="1">
      <c r="B264" s="19"/>
      <c r="C264" s="14"/>
      <c r="D264" s="83" t="s">
        <v>417</v>
      </c>
      <c r="E264" s="91"/>
      <c r="F264" s="30"/>
      <c r="G264" s="30"/>
      <c r="H264" s="30"/>
      <c r="I264" s="30"/>
      <c r="J264" s="30"/>
      <c r="K264" s="30"/>
      <c r="L264" s="30"/>
      <c r="M264" s="30"/>
      <c r="N264" s="30"/>
      <c r="O264" s="22">
        <f t="shared" si="41"/>
        <v>0</v>
      </c>
      <c r="P264" s="30"/>
      <c r="Q264" s="31"/>
      <c r="R264" s="31"/>
      <c r="S264" s="851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2:28" hidden="1" outlineLevel="1">
      <c r="B265" s="19"/>
      <c r="C265" s="62"/>
      <c r="D265" s="63"/>
      <c r="E265" s="64"/>
      <c r="F265" s="92"/>
      <c r="G265" s="92"/>
      <c r="H265" s="92"/>
      <c r="I265" s="92"/>
      <c r="J265" s="92"/>
      <c r="K265" s="92"/>
      <c r="L265" s="92"/>
      <c r="M265" s="92"/>
      <c r="N265" s="92"/>
      <c r="O265" s="22">
        <f t="shared" si="41"/>
        <v>0</v>
      </c>
      <c r="P265" s="92"/>
      <c r="Q265" s="93"/>
      <c r="R265" s="93"/>
      <c r="S265" s="854"/>
      <c r="T265" s="92"/>
      <c r="U265" s="92"/>
      <c r="V265" s="92"/>
      <c r="W265" s="92"/>
      <c r="X265" s="92"/>
      <c r="Y265" s="92"/>
      <c r="Z265" s="92"/>
      <c r="AA265" s="92"/>
      <c r="AB265" s="92"/>
    </row>
    <row r="266" spans="2:28" hidden="1" outlineLevel="1">
      <c r="B266" s="19"/>
      <c r="C266" s="14" t="s">
        <v>418</v>
      </c>
      <c r="D266" s="94" t="s">
        <v>419</v>
      </c>
      <c r="E266" s="95" t="s">
        <v>353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>
        <f t="shared" si="41"/>
        <v>0</v>
      </c>
      <c r="P266" s="22"/>
      <c r="Q266" s="23"/>
      <c r="R266" s="23"/>
      <c r="S266" s="323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2:28" hidden="1" outlineLevel="1">
      <c r="B267" s="19"/>
      <c r="C267" s="14" t="s">
        <v>420</v>
      </c>
      <c r="D267" s="94" t="s">
        <v>421</v>
      </c>
      <c r="E267" s="95" t="s">
        <v>353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>
        <f t="shared" si="41"/>
        <v>0</v>
      </c>
      <c r="P267" s="22"/>
      <c r="Q267" s="23"/>
      <c r="R267" s="23"/>
      <c r="S267" s="323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2:28" hidden="1" outlineLevel="1">
      <c r="B268" s="19"/>
      <c r="C268" s="14" t="s">
        <v>422</v>
      </c>
      <c r="D268" s="94" t="s">
        <v>423</v>
      </c>
      <c r="E268" s="95" t="s">
        <v>353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>
        <f t="shared" ref="O268:O330" si="42">N268-L268</f>
        <v>0</v>
      </c>
      <c r="P268" s="22"/>
      <c r="Q268" s="23"/>
      <c r="R268" s="23"/>
      <c r="S268" s="323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2:28" outlineLevel="1">
      <c r="B269" s="19"/>
      <c r="C269" s="62"/>
      <c r="D269" s="63"/>
      <c r="E269" s="64"/>
      <c r="F269" s="74"/>
      <c r="G269" s="74"/>
      <c r="H269" s="74"/>
      <c r="I269" s="74"/>
      <c r="J269" s="74"/>
      <c r="K269" s="74"/>
      <c r="L269" s="74"/>
      <c r="M269" s="74"/>
      <c r="N269" s="74"/>
      <c r="O269" s="22">
        <f t="shared" si="42"/>
        <v>0</v>
      </c>
      <c r="P269" s="74"/>
      <c r="Q269" s="75"/>
      <c r="R269" s="75"/>
      <c r="S269" s="852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2:28" outlineLevel="1">
      <c r="B270" s="19"/>
      <c r="C270" s="14" t="s">
        <v>424</v>
      </c>
      <c r="D270" s="94" t="s">
        <v>425</v>
      </c>
      <c r="E270" s="95" t="s">
        <v>22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/>
      <c r="O270" s="22">
        <f t="shared" si="42"/>
        <v>0</v>
      </c>
      <c r="P270" s="17">
        <v>0</v>
      </c>
      <c r="Q270" s="18">
        <v>-22901.702304328457</v>
      </c>
      <c r="R270" s="18"/>
      <c r="S270" s="324"/>
      <c r="T270" s="17">
        <v>0</v>
      </c>
      <c r="U270" s="17">
        <f>SUM(U273:U278)</f>
        <v>-23083.160000000003</v>
      </c>
      <c r="V270" s="17"/>
      <c r="W270" s="17">
        <v>0</v>
      </c>
      <c r="X270" s="17">
        <f>SUM(X272:X279)</f>
        <v>48503.77562325554</v>
      </c>
      <c r="Y270" s="17">
        <v>0</v>
      </c>
      <c r="Z270" s="17">
        <f>Z271+Z273+Z276+Z279+Z280</f>
        <v>-46807.329999999994</v>
      </c>
      <c r="AA270" s="17">
        <v>0</v>
      </c>
      <c r="AB270" s="17">
        <v>0</v>
      </c>
    </row>
    <row r="271" spans="2:28" ht="21" outlineLevel="1">
      <c r="B271" s="19"/>
      <c r="C271" s="14"/>
      <c r="D271" s="94" t="s">
        <v>1817</v>
      </c>
      <c r="E271" s="95"/>
      <c r="F271" s="17"/>
      <c r="G271" s="17"/>
      <c r="H271" s="17"/>
      <c r="I271" s="17"/>
      <c r="J271" s="17"/>
      <c r="K271" s="17"/>
      <c r="L271" s="17"/>
      <c r="M271" s="17"/>
      <c r="N271" s="17"/>
      <c r="O271" s="22"/>
      <c r="P271" s="17"/>
      <c r="Q271" s="18"/>
      <c r="R271" s="18"/>
      <c r="S271" s="324"/>
      <c r="T271" s="17"/>
      <c r="U271" s="17"/>
      <c r="V271" s="17"/>
      <c r="W271" s="17"/>
      <c r="X271" s="17"/>
      <c r="Y271" s="17"/>
      <c r="Z271" s="17">
        <v>6216.95</v>
      </c>
      <c r="AA271" s="17"/>
      <c r="AB271" s="17"/>
    </row>
    <row r="272" spans="2:28" ht="21" outlineLevel="1">
      <c r="B272" s="19"/>
      <c r="C272" s="14"/>
      <c r="D272" s="94" t="s">
        <v>1816</v>
      </c>
      <c r="E272" s="95"/>
      <c r="F272" s="17"/>
      <c r="G272" s="17"/>
      <c r="H272" s="17"/>
      <c r="I272" s="17"/>
      <c r="J272" s="17"/>
      <c r="K272" s="17"/>
      <c r="L272" s="17"/>
      <c r="M272" s="17"/>
      <c r="N272" s="17"/>
      <c r="O272" s="22"/>
      <c r="P272" s="17"/>
      <c r="Q272" s="18"/>
      <c r="R272" s="18"/>
      <c r="S272" s="323"/>
      <c r="T272" s="22"/>
      <c r="U272" s="22"/>
      <c r="V272" s="22"/>
      <c r="W272" s="22"/>
      <c r="X272" s="22">
        <f>'Расчет ВО методом индекс ВО'!V34</f>
        <v>-21624.74</v>
      </c>
      <c r="Y272" s="22"/>
      <c r="Z272" s="22"/>
      <c r="AA272" s="22"/>
      <c r="AB272" s="22"/>
    </row>
    <row r="273" spans="2:28" ht="31.5" outlineLevel="1">
      <c r="B273" s="19"/>
      <c r="C273" s="14" t="s">
        <v>426</v>
      </c>
      <c r="D273" s="96" t="s">
        <v>427</v>
      </c>
      <c r="E273" s="95" t="s">
        <v>22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>
        <f t="shared" si="42"/>
        <v>0</v>
      </c>
      <c r="P273" s="22"/>
      <c r="Q273" s="23"/>
      <c r="R273" s="23"/>
      <c r="S273" s="323"/>
      <c r="T273" s="22"/>
      <c r="U273" s="22"/>
      <c r="V273" s="22"/>
      <c r="W273" s="22"/>
      <c r="X273" s="22">
        <f>'Расчет ВО методом индекс ВО'!V35</f>
        <v>36550</v>
      </c>
      <c r="Y273" s="22"/>
      <c r="Z273" s="22">
        <v>64894.96</v>
      </c>
      <c r="AA273" s="22"/>
      <c r="AB273" s="22"/>
    </row>
    <row r="274" spans="2:28" ht="73.5" outlineLevel="1">
      <c r="B274" s="19"/>
      <c r="C274" s="14" t="s">
        <v>428</v>
      </c>
      <c r="D274" s="96" t="s">
        <v>429</v>
      </c>
      <c r="E274" s="95" t="s">
        <v>22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>
        <f t="shared" si="42"/>
        <v>0</v>
      </c>
      <c r="P274" s="22"/>
      <c r="Q274" s="23"/>
      <c r="R274" s="23"/>
      <c r="S274" s="323"/>
      <c r="T274" s="22"/>
      <c r="U274" s="22">
        <v>-1458.42</v>
      </c>
      <c r="V274" s="22"/>
      <c r="W274" s="22"/>
      <c r="X274" s="22">
        <f>'Расчет ВО методом индекс ВО'!V33</f>
        <v>8474.702842072933</v>
      </c>
      <c r="Y274" s="22"/>
      <c r="Z274" s="22"/>
      <c r="AA274" s="22"/>
      <c r="AB274" s="22"/>
    </row>
    <row r="275" spans="2:28" ht="31.5" outlineLevel="1">
      <c r="B275" s="19"/>
      <c r="C275" s="14" t="s">
        <v>430</v>
      </c>
      <c r="D275" s="96" t="s">
        <v>431</v>
      </c>
      <c r="E275" s="95" t="s">
        <v>22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>
        <f t="shared" si="42"/>
        <v>0</v>
      </c>
      <c r="P275" s="22"/>
      <c r="Q275" s="23"/>
      <c r="R275" s="23"/>
      <c r="S275" s="323"/>
      <c r="T275" s="22"/>
      <c r="U275" s="22"/>
      <c r="V275" s="22"/>
      <c r="W275" s="22"/>
      <c r="X275" s="22">
        <f>'Расчет ВО методом индекс ВО'!V37</f>
        <v>55412.729999999981</v>
      </c>
      <c r="Y275" s="22"/>
      <c r="Z275" s="22"/>
      <c r="AA275" s="22"/>
      <c r="AB275" s="22"/>
    </row>
    <row r="276" spans="2:28" ht="52.5" outlineLevel="1">
      <c r="B276" s="19"/>
      <c r="C276" s="14" t="s">
        <v>432</v>
      </c>
      <c r="D276" s="96" t="s">
        <v>433</v>
      </c>
      <c r="E276" s="95" t="s">
        <v>22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>
        <f t="shared" si="42"/>
        <v>0</v>
      </c>
      <c r="P276" s="22"/>
      <c r="Q276" s="23"/>
      <c r="R276" s="23"/>
      <c r="S276" s="323"/>
      <c r="T276" s="22"/>
      <c r="U276" s="22"/>
      <c r="V276" s="22"/>
      <c r="W276" s="22"/>
      <c r="X276" s="22">
        <v>-9121.5499999999993</v>
      </c>
      <c r="Y276" s="22"/>
      <c r="Z276" s="22">
        <f>-116650.58</f>
        <v>-116650.58</v>
      </c>
      <c r="AA276" s="22"/>
      <c r="AB276" s="22"/>
    </row>
    <row r="277" spans="2:28" ht="231" hidden="1" customHeight="1" outlineLevel="1">
      <c r="B277" s="19"/>
      <c r="C277" s="14" t="s">
        <v>434</v>
      </c>
      <c r="D277" s="1541" t="s">
        <v>435</v>
      </c>
      <c r="E277" s="95" t="s">
        <v>22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>
        <f t="shared" si="42"/>
        <v>0</v>
      </c>
      <c r="P277" s="22"/>
      <c r="Q277" s="23"/>
      <c r="R277" s="23"/>
      <c r="S277" s="323"/>
      <c r="T277" s="22"/>
      <c r="U277" s="22">
        <v>-21624.74</v>
      </c>
      <c r="V277" s="22"/>
      <c r="W277" s="22"/>
      <c r="X277" s="22"/>
      <c r="Y277" s="22"/>
      <c r="Z277" s="22"/>
      <c r="AA277" s="22"/>
      <c r="AB277" s="22"/>
    </row>
    <row r="278" spans="2:28" ht="63" hidden="1" outlineLevel="1">
      <c r="B278" s="19"/>
      <c r="C278" s="14" t="s">
        <v>436</v>
      </c>
      <c r="D278" s="97" t="s">
        <v>437</v>
      </c>
      <c r="E278" s="95" t="s">
        <v>22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>
        <f t="shared" si="42"/>
        <v>0</v>
      </c>
      <c r="P278" s="22"/>
      <c r="Q278" s="23"/>
      <c r="R278" s="23"/>
      <c r="S278" s="323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2:28" ht="21" outlineLevel="1">
      <c r="B279" s="19"/>
      <c r="C279" s="14" t="s">
        <v>438</v>
      </c>
      <c r="D279" s="98" t="s">
        <v>1358</v>
      </c>
      <c r="E279" s="95" t="s">
        <v>22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>
        <f t="shared" si="42"/>
        <v>0</v>
      </c>
      <c r="P279" s="22"/>
      <c r="Q279" s="23"/>
      <c r="R279" s="23"/>
      <c r="S279" s="323"/>
      <c r="T279" s="22"/>
      <c r="U279" s="22">
        <v>-44046.75</v>
      </c>
      <c r="V279" s="22"/>
      <c r="W279" s="22"/>
      <c r="X279" s="22">
        <f>'Расчет ВО методом индекс ВО'!V41</f>
        <v>-21187.367218817362</v>
      </c>
      <c r="Y279" s="22"/>
      <c r="Z279" s="22">
        <v>-21187.37</v>
      </c>
      <c r="AA279" s="22"/>
      <c r="AB279" s="22"/>
    </row>
    <row r="280" spans="2:28" outlineLevel="1">
      <c r="B280" s="19"/>
      <c r="C280" s="14" t="s">
        <v>440</v>
      </c>
      <c r="D280" s="98" t="s">
        <v>441</v>
      </c>
      <c r="E280" s="95" t="s">
        <v>22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>
        <f t="shared" si="42"/>
        <v>0</v>
      </c>
      <c r="P280" s="22"/>
      <c r="Q280" s="23"/>
      <c r="R280" s="23"/>
      <c r="S280" s="323"/>
      <c r="T280" s="22"/>
      <c r="U280" s="22">
        <v>40854.839999999997</v>
      </c>
      <c r="V280" s="22"/>
      <c r="W280" s="22"/>
      <c r="X280" s="22">
        <v>-75412.73</v>
      </c>
      <c r="Y280" s="22"/>
      <c r="Z280" s="22">
        <v>19918.71</v>
      </c>
      <c r="AA280" s="22"/>
      <c r="AB280" s="22"/>
    </row>
    <row r="281" spans="2:28" outlineLevel="1">
      <c r="B281" s="19"/>
      <c r="C281" s="62"/>
      <c r="D281" s="63"/>
      <c r="E281" s="64"/>
      <c r="F281" s="74"/>
      <c r="G281" s="74"/>
      <c r="H281" s="74"/>
      <c r="I281" s="74"/>
      <c r="J281" s="74"/>
      <c r="K281" s="74"/>
      <c r="L281" s="74"/>
      <c r="M281" s="74"/>
      <c r="N281" s="74"/>
      <c r="O281" s="22">
        <f t="shared" si="42"/>
        <v>0</v>
      </c>
      <c r="P281" s="74"/>
      <c r="Q281" s="75"/>
      <c r="R281" s="75"/>
      <c r="S281" s="852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2:28" ht="21">
      <c r="B282" s="19"/>
      <c r="C282" s="14"/>
      <c r="D282" s="83" t="s">
        <v>442</v>
      </c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22">
        <f t="shared" si="42"/>
        <v>0</v>
      </c>
      <c r="P282" s="92"/>
      <c r="Q282" s="93"/>
      <c r="R282" s="93"/>
      <c r="S282" s="854"/>
      <c r="T282" s="92"/>
      <c r="U282" s="92"/>
      <c r="V282" s="92"/>
      <c r="W282" s="92"/>
      <c r="X282" s="92"/>
      <c r="Y282" s="92"/>
      <c r="Z282" s="92"/>
      <c r="AA282" s="92"/>
      <c r="AB282" s="92"/>
    </row>
    <row r="283" spans="2:28" hidden="1" outlineLevel="1">
      <c r="B283" s="19"/>
      <c r="C283" s="62"/>
      <c r="D283" s="63"/>
      <c r="E283" s="64"/>
      <c r="F283" s="92"/>
      <c r="G283" s="92"/>
      <c r="H283" s="92"/>
      <c r="I283" s="92"/>
      <c r="J283" s="92"/>
      <c r="K283" s="92"/>
      <c r="L283" s="92"/>
      <c r="M283" s="92"/>
      <c r="N283" s="92"/>
      <c r="O283" s="22">
        <f t="shared" si="42"/>
        <v>0</v>
      </c>
      <c r="P283" s="92"/>
      <c r="Q283" s="93"/>
      <c r="R283" s="93"/>
      <c r="S283" s="854"/>
      <c r="T283" s="92"/>
      <c r="U283" s="92"/>
      <c r="V283" s="92"/>
      <c r="W283" s="92"/>
      <c r="X283" s="92"/>
      <c r="Y283" s="92"/>
      <c r="Z283" s="92"/>
      <c r="AA283" s="92"/>
      <c r="AB283" s="92"/>
    </row>
    <row r="284" spans="2:28" hidden="1" outlineLevel="1">
      <c r="B284" s="19"/>
      <c r="C284" s="14" t="s">
        <v>443</v>
      </c>
      <c r="D284" s="94" t="s">
        <v>419</v>
      </c>
      <c r="E284" s="95" t="s">
        <v>353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22">
        <f t="shared" si="42"/>
        <v>0</v>
      </c>
      <c r="P284" s="92"/>
      <c r="Q284" s="93"/>
      <c r="R284" s="93"/>
      <c r="S284" s="854"/>
      <c r="T284" s="92"/>
      <c r="U284" s="92"/>
      <c r="V284" s="92"/>
      <c r="W284" s="92"/>
      <c r="X284" s="92"/>
      <c r="Y284" s="92"/>
      <c r="Z284" s="92"/>
      <c r="AA284" s="92"/>
      <c r="AB284" s="92"/>
    </row>
    <row r="285" spans="2:28" hidden="1" outlineLevel="1">
      <c r="B285" s="19"/>
      <c r="C285" s="14" t="s">
        <v>444</v>
      </c>
      <c r="D285" s="94" t="s">
        <v>421</v>
      </c>
      <c r="E285" s="95" t="s">
        <v>353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22">
        <f t="shared" si="42"/>
        <v>0</v>
      </c>
      <c r="P285" s="92"/>
      <c r="Q285" s="93"/>
      <c r="R285" s="93"/>
      <c r="S285" s="854"/>
      <c r="T285" s="92"/>
      <c r="U285" s="92"/>
      <c r="V285" s="92"/>
      <c r="W285" s="92"/>
      <c r="X285" s="92"/>
      <c r="Y285" s="92"/>
      <c r="Z285" s="92"/>
      <c r="AA285" s="92"/>
      <c r="AB285" s="92"/>
    </row>
    <row r="286" spans="2:28" hidden="1" outlineLevel="1">
      <c r="B286" s="19"/>
      <c r="C286" s="14" t="s">
        <v>445</v>
      </c>
      <c r="D286" s="94" t="s">
        <v>423</v>
      </c>
      <c r="E286" s="95" t="s">
        <v>353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22">
        <f t="shared" si="42"/>
        <v>0</v>
      </c>
      <c r="P286" s="92"/>
      <c r="Q286" s="93"/>
      <c r="R286" s="93"/>
      <c r="S286" s="854"/>
      <c r="T286" s="92"/>
      <c r="U286" s="92"/>
      <c r="V286" s="92"/>
      <c r="W286" s="92"/>
      <c r="X286" s="92"/>
      <c r="Y286" s="92"/>
      <c r="Z286" s="92"/>
      <c r="AA286" s="92"/>
      <c r="AB286" s="92"/>
    </row>
    <row r="287" spans="2:28" hidden="1" outlineLevel="1">
      <c r="B287" s="19"/>
      <c r="C287" s="62"/>
      <c r="D287" s="63"/>
      <c r="E287" s="64"/>
      <c r="F287" s="92"/>
      <c r="G287" s="92"/>
      <c r="H287" s="92"/>
      <c r="I287" s="92"/>
      <c r="J287" s="92"/>
      <c r="K287" s="92"/>
      <c r="L287" s="92"/>
      <c r="M287" s="92"/>
      <c r="N287" s="92"/>
      <c r="O287" s="22">
        <f t="shared" si="42"/>
        <v>0</v>
      </c>
      <c r="P287" s="92"/>
      <c r="Q287" s="93"/>
      <c r="R287" s="93"/>
      <c r="S287" s="854"/>
      <c r="T287" s="92"/>
      <c r="U287" s="92"/>
      <c r="V287" s="92"/>
      <c r="W287" s="92"/>
      <c r="X287" s="92"/>
      <c r="Y287" s="92"/>
      <c r="Z287" s="92"/>
      <c r="AA287" s="92"/>
      <c r="AB287" s="92"/>
    </row>
    <row r="288" spans="2:28" hidden="1" outlineLevel="1">
      <c r="B288" s="19"/>
      <c r="C288" s="14" t="s">
        <v>444</v>
      </c>
      <c r="D288" s="94" t="s">
        <v>446</v>
      </c>
      <c r="E288" s="95" t="s">
        <v>22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22">
        <f t="shared" si="42"/>
        <v>0</v>
      </c>
      <c r="P288" s="92"/>
      <c r="Q288" s="93"/>
      <c r="R288" s="93"/>
      <c r="S288" s="854"/>
      <c r="T288" s="92"/>
      <c r="U288" s="92"/>
      <c r="V288" s="92"/>
      <c r="W288" s="92"/>
      <c r="X288" s="92"/>
      <c r="Y288" s="92"/>
      <c r="Z288" s="92"/>
      <c r="AA288" s="92"/>
      <c r="AB288" s="92"/>
    </row>
    <row r="289" spans="2:28" ht="21" hidden="1" outlineLevel="1">
      <c r="B289" s="19"/>
      <c r="C289" s="14" t="s">
        <v>447</v>
      </c>
      <c r="D289" s="96" t="s">
        <v>448</v>
      </c>
      <c r="E289" s="95" t="s">
        <v>22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22">
        <f t="shared" si="42"/>
        <v>0</v>
      </c>
      <c r="P289" s="92"/>
      <c r="Q289" s="93"/>
      <c r="R289" s="93"/>
      <c r="S289" s="854"/>
      <c r="T289" s="92"/>
      <c r="U289" s="92"/>
      <c r="V289" s="92"/>
      <c r="W289" s="92"/>
      <c r="X289" s="92"/>
      <c r="Y289" s="92"/>
      <c r="Z289" s="92"/>
      <c r="AA289" s="92"/>
      <c r="AB289" s="92"/>
    </row>
    <row r="290" spans="2:28" ht="21" hidden="1" outlineLevel="1">
      <c r="B290" s="19"/>
      <c r="C290" s="14" t="s">
        <v>449</v>
      </c>
      <c r="D290" s="96" t="s">
        <v>450</v>
      </c>
      <c r="E290" s="95" t="s">
        <v>451</v>
      </c>
      <c r="F290" s="92"/>
      <c r="G290" s="92"/>
      <c r="H290" s="92"/>
      <c r="I290" s="92"/>
      <c r="J290" s="92"/>
      <c r="K290" s="92"/>
      <c r="L290" s="92"/>
      <c r="M290" s="92"/>
      <c r="N290" s="92"/>
      <c r="O290" s="22">
        <f t="shared" si="42"/>
        <v>0</v>
      </c>
      <c r="P290" s="92"/>
      <c r="Q290" s="93"/>
      <c r="R290" s="93"/>
      <c r="S290" s="854"/>
      <c r="T290" s="92"/>
      <c r="U290" s="92"/>
      <c r="V290" s="92"/>
      <c r="W290" s="92"/>
      <c r="X290" s="92"/>
      <c r="Y290" s="92"/>
      <c r="Z290" s="92"/>
      <c r="AA290" s="92"/>
      <c r="AB290" s="92"/>
    </row>
    <row r="291" spans="2:28" hidden="1" outlineLevel="1">
      <c r="B291" s="19"/>
      <c r="C291" s="14" t="s">
        <v>445</v>
      </c>
      <c r="D291" s="94" t="s">
        <v>452</v>
      </c>
      <c r="E291" s="95" t="s">
        <v>22</v>
      </c>
      <c r="F291" s="92"/>
      <c r="G291" s="92"/>
      <c r="H291" s="92"/>
      <c r="I291" s="92"/>
      <c r="J291" s="92"/>
      <c r="K291" s="92"/>
      <c r="L291" s="92"/>
      <c r="M291" s="92"/>
      <c r="N291" s="92"/>
      <c r="O291" s="22">
        <f t="shared" si="42"/>
        <v>0</v>
      </c>
      <c r="P291" s="92"/>
      <c r="Q291" s="93"/>
      <c r="R291" s="93"/>
      <c r="S291" s="854"/>
      <c r="T291" s="92"/>
      <c r="U291" s="92"/>
      <c r="V291" s="92"/>
      <c r="W291" s="92"/>
      <c r="X291" s="92"/>
      <c r="Y291" s="92"/>
      <c r="Z291" s="92"/>
      <c r="AA291" s="92"/>
      <c r="AB291" s="92"/>
    </row>
    <row r="292" spans="2:28" ht="21" hidden="1" outlineLevel="1">
      <c r="B292" s="19"/>
      <c r="C292" s="14" t="s">
        <v>453</v>
      </c>
      <c r="D292" s="96" t="s">
        <v>454</v>
      </c>
      <c r="E292" s="95" t="s">
        <v>22</v>
      </c>
      <c r="F292" s="92"/>
      <c r="G292" s="92"/>
      <c r="H292" s="92"/>
      <c r="I292" s="92"/>
      <c r="J292" s="92"/>
      <c r="K292" s="92"/>
      <c r="L292" s="92"/>
      <c r="M292" s="92"/>
      <c r="N292" s="92"/>
      <c r="O292" s="22">
        <f t="shared" si="42"/>
        <v>0</v>
      </c>
      <c r="P292" s="92"/>
      <c r="Q292" s="93"/>
      <c r="R292" s="93"/>
      <c r="S292" s="854"/>
      <c r="T292" s="92"/>
      <c r="U292" s="92"/>
      <c r="V292" s="92"/>
      <c r="W292" s="92"/>
      <c r="X292" s="92"/>
      <c r="Y292" s="92"/>
      <c r="Z292" s="92"/>
      <c r="AA292" s="92"/>
      <c r="AB292" s="92"/>
    </row>
    <row r="293" spans="2:28" ht="31.5" hidden="1" outlineLevel="1">
      <c r="B293" s="19"/>
      <c r="C293" s="14" t="s">
        <v>455</v>
      </c>
      <c r="D293" s="96" t="s">
        <v>456</v>
      </c>
      <c r="E293" s="95" t="s">
        <v>353</v>
      </c>
      <c r="F293" s="92"/>
      <c r="G293" s="92"/>
      <c r="H293" s="92"/>
      <c r="I293" s="92"/>
      <c r="J293" s="92"/>
      <c r="K293" s="92"/>
      <c r="L293" s="92"/>
      <c r="M293" s="92"/>
      <c r="N293" s="92"/>
      <c r="O293" s="22">
        <f t="shared" si="42"/>
        <v>0</v>
      </c>
      <c r="P293" s="92"/>
      <c r="Q293" s="93"/>
      <c r="R293" s="93"/>
      <c r="S293" s="854"/>
      <c r="T293" s="92"/>
      <c r="U293" s="92"/>
      <c r="V293" s="92"/>
      <c r="W293" s="92"/>
      <c r="X293" s="92"/>
      <c r="Y293" s="92"/>
      <c r="Z293" s="92"/>
      <c r="AA293" s="92"/>
      <c r="AB293" s="92"/>
    </row>
    <row r="294" spans="2:28" hidden="1" outlineLevel="1">
      <c r="B294" s="19"/>
      <c r="C294" s="14" t="s">
        <v>457</v>
      </c>
      <c r="D294" s="96" t="s">
        <v>458</v>
      </c>
      <c r="E294" s="95" t="s">
        <v>22</v>
      </c>
      <c r="F294" s="92"/>
      <c r="G294" s="92"/>
      <c r="H294" s="92"/>
      <c r="I294" s="92"/>
      <c r="J294" s="92"/>
      <c r="K294" s="92"/>
      <c r="L294" s="92"/>
      <c r="M294" s="92"/>
      <c r="N294" s="92"/>
      <c r="O294" s="22">
        <f t="shared" si="42"/>
        <v>0</v>
      </c>
      <c r="P294" s="92"/>
      <c r="Q294" s="93"/>
      <c r="R294" s="93"/>
      <c r="S294" s="854"/>
      <c r="T294" s="92"/>
      <c r="U294" s="92"/>
      <c r="V294" s="92"/>
      <c r="W294" s="92"/>
      <c r="X294" s="92"/>
      <c r="Y294" s="92"/>
      <c r="Z294" s="92"/>
      <c r="AA294" s="92"/>
      <c r="AB294" s="92"/>
    </row>
    <row r="295" spans="2:28" hidden="1" outlineLevel="1">
      <c r="B295" s="19"/>
      <c r="C295" s="14" t="s">
        <v>459</v>
      </c>
      <c r="D295" s="96" t="s">
        <v>460</v>
      </c>
      <c r="E295" s="95" t="s">
        <v>22</v>
      </c>
      <c r="F295" s="92"/>
      <c r="G295" s="92"/>
      <c r="H295" s="92"/>
      <c r="I295" s="92"/>
      <c r="J295" s="92"/>
      <c r="K295" s="92"/>
      <c r="L295" s="92"/>
      <c r="M295" s="92"/>
      <c r="N295" s="92"/>
      <c r="O295" s="22">
        <f t="shared" si="42"/>
        <v>0</v>
      </c>
      <c r="P295" s="92"/>
      <c r="Q295" s="93"/>
      <c r="R295" s="93"/>
      <c r="S295" s="854"/>
      <c r="T295" s="92"/>
      <c r="U295" s="92"/>
      <c r="V295" s="92"/>
      <c r="W295" s="92"/>
      <c r="X295" s="92"/>
      <c r="Y295" s="92"/>
      <c r="Z295" s="92"/>
      <c r="AA295" s="92"/>
      <c r="AB295" s="92"/>
    </row>
    <row r="296" spans="2:28" ht="21" hidden="1" outlineLevel="1">
      <c r="B296" s="19"/>
      <c r="C296" s="14" t="s">
        <v>461</v>
      </c>
      <c r="D296" s="99" t="s">
        <v>462</v>
      </c>
      <c r="E296" s="95" t="s">
        <v>353</v>
      </c>
      <c r="F296" s="92"/>
      <c r="G296" s="92"/>
      <c r="H296" s="92"/>
      <c r="I296" s="92"/>
      <c r="J296" s="92"/>
      <c r="K296" s="92"/>
      <c r="L296" s="92"/>
      <c r="M296" s="92"/>
      <c r="N296" s="92"/>
      <c r="O296" s="22">
        <f t="shared" si="42"/>
        <v>0</v>
      </c>
      <c r="P296" s="92"/>
      <c r="Q296" s="93"/>
      <c r="R296" s="93"/>
      <c r="S296" s="854"/>
      <c r="T296" s="92"/>
      <c r="U296" s="92"/>
      <c r="V296" s="92"/>
      <c r="W296" s="92"/>
      <c r="X296" s="92"/>
      <c r="Y296" s="92"/>
      <c r="Z296" s="92"/>
      <c r="AA296" s="92"/>
      <c r="AB296" s="92"/>
    </row>
    <row r="297" spans="2:28" hidden="1" outlineLevel="1">
      <c r="B297" s="19"/>
      <c r="C297" s="14" t="s">
        <v>463</v>
      </c>
      <c r="D297" s="96" t="s">
        <v>464</v>
      </c>
      <c r="E297" s="95" t="s">
        <v>353</v>
      </c>
      <c r="F297" s="92"/>
      <c r="G297" s="92"/>
      <c r="H297" s="92"/>
      <c r="I297" s="92"/>
      <c r="J297" s="92"/>
      <c r="K297" s="92"/>
      <c r="L297" s="92"/>
      <c r="M297" s="92"/>
      <c r="N297" s="92"/>
      <c r="O297" s="22">
        <f t="shared" si="42"/>
        <v>0</v>
      </c>
      <c r="P297" s="92"/>
      <c r="Q297" s="93"/>
      <c r="R297" s="93"/>
      <c r="S297" s="854"/>
      <c r="T297" s="92"/>
      <c r="U297" s="92"/>
      <c r="V297" s="92"/>
      <c r="W297" s="92"/>
      <c r="X297" s="92"/>
      <c r="Y297" s="92"/>
      <c r="Z297" s="92"/>
      <c r="AA297" s="92"/>
      <c r="AB297" s="92"/>
    </row>
    <row r="298" spans="2:28" ht="21" hidden="1" outlineLevel="1">
      <c r="B298" s="19"/>
      <c r="C298" s="14" t="s">
        <v>465</v>
      </c>
      <c r="D298" s="99" t="s">
        <v>466</v>
      </c>
      <c r="E298" s="95" t="s">
        <v>353</v>
      </c>
      <c r="F298" s="92"/>
      <c r="G298" s="92"/>
      <c r="H298" s="92"/>
      <c r="I298" s="92"/>
      <c r="J298" s="92"/>
      <c r="K298" s="92"/>
      <c r="L298" s="92"/>
      <c r="M298" s="92"/>
      <c r="N298" s="92"/>
      <c r="O298" s="22">
        <f t="shared" si="42"/>
        <v>0</v>
      </c>
      <c r="P298" s="92"/>
      <c r="Q298" s="93"/>
      <c r="R298" s="93"/>
      <c r="S298" s="854"/>
      <c r="T298" s="92"/>
      <c r="U298" s="92"/>
      <c r="V298" s="92"/>
      <c r="W298" s="92"/>
      <c r="X298" s="92"/>
      <c r="Y298" s="92"/>
      <c r="Z298" s="92"/>
      <c r="AA298" s="92"/>
      <c r="AB298" s="92"/>
    </row>
    <row r="299" spans="2:28" ht="21" hidden="1" outlineLevel="1">
      <c r="B299" s="19"/>
      <c r="C299" s="14" t="s">
        <v>467</v>
      </c>
      <c r="D299" s="99" t="s">
        <v>468</v>
      </c>
      <c r="E299" s="95" t="s">
        <v>353</v>
      </c>
      <c r="F299" s="92"/>
      <c r="G299" s="92"/>
      <c r="H299" s="92"/>
      <c r="I299" s="92"/>
      <c r="J299" s="92"/>
      <c r="K299" s="92"/>
      <c r="L299" s="92"/>
      <c r="M299" s="92"/>
      <c r="N299" s="92"/>
      <c r="O299" s="22">
        <f t="shared" si="42"/>
        <v>0</v>
      </c>
      <c r="P299" s="92"/>
      <c r="Q299" s="93"/>
      <c r="R299" s="93"/>
      <c r="S299" s="854"/>
      <c r="T299" s="92"/>
      <c r="U299" s="92"/>
      <c r="V299" s="92"/>
      <c r="W299" s="92"/>
      <c r="X299" s="92"/>
      <c r="Y299" s="92"/>
      <c r="Z299" s="92"/>
      <c r="AA299" s="92"/>
      <c r="AB299" s="92"/>
    </row>
    <row r="300" spans="2:28" hidden="1" outlineLevel="1">
      <c r="B300" s="60" t="s">
        <v>288</v>
      </c>
      <c r="C300" s="14" t="s">
        <v>469</v>
      </c>
      <c r="D300" s="100" t="s">
        <v>289</v>
      </c>
      <c r="E300" s="95" t="s">
        <v>22</v>
      </c>
      <c r="F300" s="92"/>
      <c r="G300" s="92"/>
      <c r="H300" s="92"/>
      <c r="I300" s="92"/>
      <c r="J300" s="92"/>
      <c r="K300" s="92"/>
      <c r="L300" s="92"/>
      <c r="M300" s="92"/>
      <c r="N300" s="92"/>
      <c r="O300" s="22">
        <f t="shared" si="42"/>
        <v>0</v>
      </c>
      <c r="P300" s="92"/>
      <c r="Q300" s="93"/>
      <c r="R300" s="93"/>
      <c r="S300" s="854"/>
      <c r="T300" s="92"/>
      <c r="U300" s="92"/>
      <c r="V300" s="92"/>
      <c r="W300" s="92"/>
      <c r="X300" s="92"/>
      <c r="Y300" s="92"/>
      <c r="Z300" s="92"/>
      <c r="AA300" s="92"/>
      <c r="AB300" s="92"/>
    </row>
    <row r="301" spans="2:28" hidden="1" outlineLevel="1">
      <c r="B301" s="19"/>
      <c r="C301" s="62"/>
      <c r="D301" s="63"/>
      <c r="E301" s="64"/>
      <c r="F301" s="92"/>
      <c r="G301" s="92"/>
      <c r="H301" s="92"/>
      <c r="I301" s="92"/>
      <c r="J301" s="92"/>
      <c r="K301" s="92"/>
      <c r="L301" s="92"/>
      <c r="M301" s="92"/>
      <c r="N301" s="92"/>
      <c r="O301" s="22">
        <f t="shared" si="42"/>
        <v>0</v>
      </c>
      <c r="P301" s="92"/>
      <c r="Q301" s="93"/>
      <c r="R301" s="93"/>
      <c r="S301" s="854"/>
      <c r="T301" s="92"/>
      <c r="U301" s="92"/>
      <c r="V301" s="92"/>
      <c r="W301" s="92"/>
      <c r="X301" s="92"/>
      <c r="Y301" s="92"/>
      <c r="Z301" s="92"/>
      <c r="AA301" s="92"/>
      <c r="AB301" s="92"/>
    </row>
    <row r="302" spans="2:28" hidden="1" outlineLevel="1">
      <c r="B302" s="19"/>
      <c r="C302" s="14" t="s">
        <v>470</v>
      </c>
      <c r="D302" s="94" t="s">
        <v>425</v>
      </c>
      <c r="E302" s="95" t="s">
        <v>22</v>
      </c>
      <c r="F302" s="92"/>
      <c r="G302" s="92"/>
      <c r="H302" s="92"/>
      <c r="I302" s="92"/>
      <c r="J302" s="92"/>
      <c r="K302" s="92"/>
      <c r="L302" s="92"/>
      <c r="M302" s="92"/>
      <c r="N302" s="92"/>
      <c r="O302" s="22">
        <f t="shared" si="42"/>
        <v>0</v>
      </c>
      <c r="P302" s="92"/>
      <c r="Q302" s="93"/>
      <c r="R302" s="93"/>
      <c r="S302" s="854"/>
      <c r="T302" s="92"/>
      <c r="U302" s="92"/>
      <c r="V302" s="92"/>
      <c r="W302" s="92"/>
      <c r="X302" s="92"/>
      <c r="Y302" s="92"/>
      <c r="Z302" s="92"/>
      <c r="AA302" s="92"/>
      <c r="AB302" s="92"/>
    </row>
    <row r="303" spans="2:28" ht="73.5" hidden="1" outlineLevel="1">
      <c r="B303" s="19"/>
      <c r="C303" s="14" t="s">
        <v>471</v>
      </c>
      <c r="D303" s="96" t="s">
        <v>429</v>
      </c>
      <c r="E303" s="95" t="s">
        <v>22</v>
      </c>
      <c r="F303" s="92"/>
      <c r="G303" s="92"/>
      <c r="H303" s="92"/>
      <c r="I303" s="92"/>
      <c r="J303" s="92"/>
      <c r="K303" s="92"/>
      <c r="L303" s="92"/>
      <c r="M303" s="92"/>
      <c r="N303" s="92"/>
      <c r="O303" s="22">
        <f t="shared" si="42"/>
        <v>0</v>
      </c>
      <c r="P303" s="92"/>
      <c r="Q303" s="93"/>
      <c r="R303" s="93"/>
      <c r="S303" s="854"/>
      <c r="T303" s="92"/>
      <c r="U303" s="92"/>
      <c r="V303" s="92"/>
      <c r="W303" s="92"/>
      <c r="X303" s="92"/>
      <c r="Y303" s="92"/>
      <c r="Z303" s="92"/>
      <c r="AA303" s="92"/>
      <c r="AB303" s="92"/>
    </row>
    <row r="304" spans="2:28" ht="31.5" hidden="1" outlineLevel="1">
      <c r="B304" s="19"/>
      <c r="C304" s="14" t="s">
        <v>472</v>
      </c>
      <c r="D304" s="96" t="s">
        <v>431</v>
      </c>
      <c r="E304" s="95" t="s">
        <v>22</v>
      </c>
      <c r="F304" s="92"/>
      <c r="G304" s="92"/>
      <c r="H304" s="92"/>
      <c r="I304" s="92"/>
      <c r="J304" s="92"/>
      <c r="K304" s="92"/>
      <c r="L304" s="92"/>
      <c r="M304" s="92"/>
      <c r="N304" s="92"/>
      <c r="O304" s="22">
        <f t="shared" si="42"/>
        <v>0</v>
      </c>
      <c r="P304" s="92"/>
      <c r="Q304" s="93"/>
      <c r="R304" s="93"/>
      <c r="S304" s="854"/>
      <c r="T304" s="92"/>
      <c r="U304" s="92"/>
      <c r="V304" s="92"/>
      <c r="W304" s="92"/>
      <c r="X304" s="92"/>
      <c r="Y304" s="92"/>
      <c r="Z304" s="92"/>
      <c r="AA304" s="92"/>
      <c r="AB304" s="92"/>
    </row>
    <row r="305" spans="2:28" ht="52.5" hidden="1" outlineLevel="1">
      <c r="B305" s="19"/>
      <c r="C305" s="14" t="s">
        <v>473</v>
      </c>
      <c r="D305" s="96" t="s">
        <v>433</v>
      </c>
      <c r="E305" s="95" t="s">
        <v>22</v>
      </c>
      <c r="F305" s="92"/>
      <c r="G305" s="92"/>
      <c r="H305" s="92"/>
      <c r="I305" s="92"/>
      <c r="J305" s="92"/>
      <c r="K305" s="92"/>
      <c r="L305" s="92"/>
      <c r="M305" s="92"/>
      <c r="N305" s="92"/>
      <c r="O305" s="22">
        <f t="shared" si="42"/>
        <v>0</v>
      </c>
      <c r="P305" s="92"/>
      <c r="Q305" s="93"/>
      <c r="R305" s="93"/>
      <c r="S305" s="854"/>
      <c r="T305" s="92"/>
      <c r="U305" s="92"/>
      <c r="V305" s="92"/>
      <c r="W305" s="92"/>
      <c r="X305" s="92"/>
      <c r="Y305" s="92"/>
      <c r="Z305" s="92"/>
      <c r="AA305" s="92"/>
      <c r="AB305" s="92"/>
    </row>
    <row r="306" spans="2:28" ht="241.5" hidden="1" outlineLevel="1">
      <c r="B306" s="19"/>
      <c r="C306" s="14" t="s">
        <v>474</v>
      </c>
      <c r="D306" s="97" t="s">
        <v>435</v>
      </c>
      <c r="E306" s="95" t="s">
        <v>22</v>
      </c>
      <c r="F306" s="92"/>
      <c r="G306" s="92"/>
      <c r="H306" s="92"/>
      <c r="I306" s="92"/>
      <c r="J306" s="92"/>
      <c r="K306" s="92"/>
      <c r="L306" s="92"/>
      <c r="M306" s="92"/>
      <c r="N306" s="92"/>
      <c r="O306" s="22">
        <f t="shared" si="42"/>
        <v>0</v>
      </c>
      <c r="P306" s="92"/>
      <c r="Q306" s="93"/>
      <c r="R306" s="93"/>
      <c r="S306" s="854"/>
      <c r="T306" s="92"/>
      <c r="U306" s="92"/>
      <c r="V306" s="92"/>
      <c r="W306" s="92"/>
      <c r="X306" s="92"/>
      <c r="Y306" s="92"/>
      <c r="Z306" s="92"/>
      <c r="AA306" s="92"/>
      <c r="AB306" s="92"/>
    </row>
    <row r="307" spans="2:28" ht="31.5" hidden="1" outlineLevel="1">
      <c r="B307" s="19"/>
      <c r="C307" s="14" t="s">
        <v>475</v>
      </c>
      <c r="D307" s="96" t="s">
        <v>476</v>
      </c>
      <c r="E307" s="95" t="s">
        <v>22</v>
      </c>
      <c r="F307" s="92"/>
      <c r="G307" s="92"/>
      <c r="H307" s="92"/>
      <c r="I307" s="92"/>
      <c r="J307" s="92"/>
      <c r="K307" s="92"/>
      <c r="L307" s="92"/>
      <c r="M307" s="92"/>
      <c r="N307" s="92"/>
      <c r="O307" s="22">
        <f t="shared" si="42"/>
        <v>0</v>
      </c>
      <c r="P307" s="92"/>
      <c r="Q307" s="93"/>
      <c r="R307" s="93"/>
      <c r="S307" s="854"/>
      <c r="T307" s="92"/>
      <c r="U307" s="92"/>
      <c r="V307" s="92"/>
      <c r="W307" s="92"/>
      <c r="X307" s="92"/>
      <c r="Y307" s="92"/>
      <c r="Z307" s="92"/>
      <c r="AA307" s="92"/>
      <c r="AB307" s="92"/>
    </row>
    <row r="308" spans="2:28" ht="63" hidden="1" outlineLevel="1">
      <c r="B308" s="19"/>
      <c r="C308" s="14" t="s">
        <v>477</v>
      </c>
      <c r="D308" s="96" t="s">
        <v>437</v>
      </c>
      <c r="E308" s="95" t="s">
        <v>22</v>
      </c>
      <c r="F308" s="92"/>
      <c r="G308" s="92"/>
      <c r="H308" s="92"/>
      <c r="I308" s="92"/>
      <c r="J308" s="92"/>
      <c r="K308" s="92"/>
      <c r="L308" s="92"/>
      <c r="M308" s="92"/>
      <c r="N308" s="92"/>
      <c r="O308" s="22">
        <f t="shared" si="42"/>
        <v>0</v>
      </c>
      <c r="P308" s="92"/>
      <c r="Q308" s="93"/>
      <c r="R308" s="93"/>
      <c r="S308" s="854"/>
      <c r="T308" s="92"/>
      <c r="U308" s="92"/>
      <c r="V308" s="92"/>
      <c r="W308" s="92"/>
      <c r="X308" s="92"/>
      <c r="Y308" s="92"/>
      <c r="Z308" s="92"/>
      <c r="AA308" s="92"/>
      <c r="AB308" s="92"/>
    </row>
    <row r="309" spans="2:28" hidden="1" outlineLevel="1">
      <c r="B309" s="19"/>
      <c r="C309" s="14" t="s">
        <v>478</v>
      </c>
      <c r="D309" s="98" t="s">
        <v>439</v>
      </c>
      <c r="E309" s="95" t="s">
        <v>22</v>
      </c>
      <c r="F309" s="92"/>
      <c r="G309" s="92"/>
      <c r="H309" s="92"/>
      <c r="I309" s="92"/>
      <c r="J309" s="92"/>
      <c r="K309" s="92"/>
      <c r="L309" s="92"/>
      <c r="M309" s="92"/>
      <c r="N309" s="92"/>
      <c r="O309" s="22">
        <f t="shared" si="42"/>
        <v>0</v>
      </c>
      <c r="P309" s="92"/>
      <c r="Q309" s="93"/>
      <c r="R309" s="93"/>
      <c r="S309" s="854"/>
      <c r="T309" s="92"/>
      <c r="U309" s="92"/>
      <c r="V309" s="92"/>
      <c r="W309" s="92"/>
      <c r="X309" s="92"/>
      <c r="Y309" s="92"/>
      <c r="Z309" s="92"/>
      <c r="AA309" s="92"/>
      <c r="AB309" s="92"/>
    </row>
    <row r="310" spans="2:28" hidden="1" outlineLevel="1">
      <c r="B310" s="19"/>
      <c r="C310" s="14" t="s">
        <v>479</v>
      </c>
      <c r="D310" s="98" t="s">
        <v>441</v>
      </c>
      <c r="E310" s="95" t="s">
        <v>22</v>
      </c>
      <c r="F310" s="92"/>
      <c r="G310" s="92"/>
      <c r="H310" s="92"/>
      <c r="I310" s="92"/>
      <c r="J310" s="92"/>
      <c r="K310" s="92"/>
      <c r="L310" s="92"/>
      <c r="M310" s="92"/>
      <c r="N310" s="92"/>
      <c r="O310" s="22">
        <f t="shared" si="42"/>
        <v>0</v>
      </c>
      <c r="P310" s="92"/>
      <c r="Q310" s="93"/>
      <c r="R310" s="93"/>
      <c r="S310" s="854"/>
      <c r="T310" s="92"/>
      <c r="U310" s="92"/>
      <c r="V310" s="92"/>
      <c r="W310" s="92"/>
      <c r="X310" s="92"/>
      <c r="Y310" s="92"/>
      <c r="Z310" s="92"/>
      <c r="AA310" s="92"/>
      <c r="AB310" s="92"/>
    </row>
    <row r="311" spans="2:28" hidden="1" outlineLevel="1">
      <c r="B311" s="19"/>
      <c r="C311" s="62"/>
      <c r="D311" s="63"/>
      <c r="E311" s="64"/>
      <c r="F311" s="92"/>
      <c r="G311" s="92"/>
      <c r="H311" s="92"/>
      <c r="I311" s="92"/>
      <c r="J311" s="92"/>
      <c r="K311" s="92"/>
      <c r="L311" s="92"/>
      <c r="M311" s="92"/>
      <c r="N311" s="92"/>
      <c r="O311" s="22">
        <f t="shared" si="42"/>
        <v>0</v>
      </c>
      <c r="P311" s="92"/>
      <c r="Q311" s="93"/>
      <c r="R311" s="93"/>
      <c r="S311" s="854"/>
      <c r="T311" s="92"/>
      <c r="U311" s="92"/>
      <c r="V311" s="92"/>
      <c r="W311" s="92"/>
      <c r="X311" s="92"/>
      <c r="Y311" s="92"/>
      <c r="Z311" s="92"/>
      <c r="AA311" s="92"/>
      <c r="AB311" s="92"/>
    </row>
    <row r="312" spans="2:28" collapsed="1">
      <c r="B312" s="19"/>
      <c r="C312" s="14"/>
      <c r="D312" s="83" t="s">
        <v>480</v>
      </c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22">
        <f t="shared" si="42"/>
        <v>0</v>
      </c>
      <c r="P312" s="92"/>
      <c r="Q312" s="93"/>
      <c r="R312" s="93"/>
      <c r="S312" s="854"/>
      <c r="T312" s="92"/>
      <c r="U312" s="92"/>
      <c r="V312" s="92"/>
      <c r="W312" s="92"/>
      <c r="X312" s="92"/>
      <c r="Y312" s="92"/>
      <c r="Z312" s="92"/>
      <c r="AA312" s="92"/>
      <c r="AB312" s="92"/>
    </row>
    <row r="313" spans="2:28" hidden="1" outlineLevel="1">
      <c r="B313" s="19"/>
      <c r="C313" s="62"/>
      <c r="D313" s="63"/>
      <c r="E313" s="64"/>
      <c r="F313" s="92"/>
      <c r="G313" s="92"/>
      <c r="H313" s="92"/>
      <c r="I313" s="92"/>
      <c r="J313" s="92"/>
      <c r="K313" s="92"/>
      <c r="L313" s="92"/>
      <c r="M313" s="92"/>
      <c r="N313" s="92"/>
      <c r="O313" s="22">
        <f t="shared" si="42"/>
        <v>0</v>
      </c>
      <c r="P313" s="92"/>
      <c r="Q313" s="93"/>
      <c r="R313" s="93"/>
      <c r="S313" s="854"/>
      <c r="T313" s="92"/>
      <c r="U313" s="92"/>
      <c r="V313" s="92"/>
      <c r="W313" s="92"/>
      <c r="X313" s="92"/>
      <c r="Y313" s="92"/>
      <c r="Z313" s="92"/>
      <c r="AA313" s="92"/>
      <c r="AB313" s="92"/>
    </row>
    <row r="314" spans="2:28" hidden="1" outlineLevel="1">
      <c r="B314" s="19"/>
      <c r="C314" s="14" t="s">
        <v>481</v>
      </c>
      <c r="D314" s="94" t="s">
        <v>419</v>
      </c>
      <c r="E314" s="95" t="s">
        <v>353</v>
      </c>
      <c r="F314" s="92"/>
      <c r="G314" s="92"/>
      <c r="H314" s="92"/>
      <c r="I314" s="92"/>
      <c r="J314" s="92"/>
      <c r="K314" s="92"/>
      <c r="L314" s="92"/>
      <c r="M314" s="92"/>
      <c r="N314" s="92"/>
      <c r="O314" s="22">
        <f t="shared" si="42"/>
        <v>0</v>
      </c>
      <c r="P314" s="92"/>
      <c r="Q314" s="93"/>
      <c r="R314" s="93"/>
      <c r="S314" s="854"/>
      <c r="T314" s="92"/>
      <c r="U314" s="92"/>
      <c r="V314" s="92"/>
      <c r="W314" s="92"/>
      <c r="X314" s="92"/>
      <c r="Y314" s="92"/>
      <c r="Z314" s="92"/>
      <c r="AA314" s="92"/>
      <c r="AB314" s="92"/>
    </row>
    <row r="315" spans="2:28" hidden="1" outlineLevel="1">
      <c r="B315" s="19"/>
      <c r="C315" s="14" t="s">
        <v>482</v>
      </c>
      <c r="D315" s="94" t="s">
        <v>421</v>
      </c>
      <c r="E315" s="95" t="s">
        <v>353</v>
      </c>
      <c r="F315" s="92"/>
      <c r="G315" s="92"/>
      <c r="H315" s="92"/>
      <c r="I315" s="92"/>
      <c r="J315" s="92"/>
      <c r="K315" s="92"/>
      <c r="L315" s="92"/>
      <c r="M315" s="92"/>
      <c r="N315" s="92"/>
      <c r="O315" s="22">
        <f t="shared" si="42"/>
        <v>0</v>
      </c>
      <c r="P315" s="92"/>
      <c r="Q315" s="93"/>
      <c r="R315" s="93"/>
      <c r="S315" s="854"/>
      <c r="T315" s="92"/>
      <c r="U315" s="92"/>
      <c r="V315" s="92"/>
      <c r="W315" s="92"/>
      <c r="X315" s="92"/>
      <c r="Y315" s="92"/>
      <c r="Z315" s="92"/>
      <c r="AA315" s="92"/>
      <c r="AB315" s="92"/>
    </row>
    <row r="316" spans="2:28" hidden="1" outlineLevel="1">
      <c r="B316" s="19"/>
      <c r="C316" s="62"/>
      <c r="D316" s="63"/>
      <c r="E316" s="64"/>
      <c r="F316" s="92"/>
      <c r="G316" s="92"/>
      <c r="H316" s="92"/>
      <c r="I316" s="92"/>
      <c r="J316" s="92"/>
      <c r="K316" s="92"/>
      <c r="L316" s="92"/>
      <c r="M316" s="92"/>
      <c r="N316" s="92"/>
      <c r="O316" s="22">
        <f t="shared" si="42"/>
        <v>0</v>
      </c>
      <c r="P316" s="92"/>
      <c r="Q316" s="93"/>
      <c r="R316" s="93"/>
      <c r="S316" s="854"/>
      <c r="T316" s="92"/>
      <c r="U316" s="92"/>
      <c r="V316" s="92"/>
      <c r="W316" s="92"/>
      <c r="X316" s="92"/>
      <c r="Y316" s="92"/>
      <c r="Z316" s="92"/>
      <c r="AA316" s="92"/>
      <c r="AB316" s="92"/>
    </row>
    <row r="317" spans="2:28" hidden="1" outlineLevel="1">
      <c r="B317" s="19"/>
      <c r="C317" s="62"/>
      <c r="D317" s="63"/>
      <c r="E317" s="64"/>
      <c r="F317" s="92"/>
      <c r="G317" s="92"/>
      <c r="H317" s="92"/>
      <c r="I317" s="92"/>
      <c r="J317" s="92"/>
      <c r="K317" s="92"/>
      <c r="L317" s="92"/>
      <c r="M317" s="92"/>
      <c r="N317" s="92"/>
      <c r="O317" s="22">
        <f t="shared" si="42"/>
        <v>0</v>
      </c>
      <c r="P317" s="92"/>
      <c r="Q317" s="93"/>
      <c r="R317" s="93"/>
      <c r="S317" s="854"/>
      <c r="T317" s="92"/>
      <c r="U317" s="92"/>
      <c r="V317" s="92"/>
      <c r="W317" s="92"/>
      <c r="X317" s="92"/>
      <c r="Y317" s="92"/>
      <c r="Z317" s="92"/>
      <c r="AA317" s="92"/>
      <c r="AB317" s="92"/>
    </row>
    <row r="318" spans="2:28" hidden="1" outlineLevel="1">
      <c r="B318" s="19"/>
      <c r="C318" s="14" t="s">
        <v>483</v>
      </c>
      <c r="D318" s="94" t="s">
        <v>484</v>
      </c>
      <c r="E318" s="95" t="s">
        <v>485</v>
      </c>
      <c r="F318" s="92"/>
      <c r="G318" s="92"/>
      <c r="H318" s="92"/>
      <c r="I318" s="92"/>
      <c r="J318" s="92"/>
      <c r="K318" s="92"/>
      <c r="L318" s="92"/>
      <c r="M318" s="92"/>
      <c r="N318" s="92"/>
      <c r="O318" s="22">
        <f t="shared" si="42"/>
        <v>0</v>
      </c>
      <c r="P318" s="92"/>
      <c r="Q318" s="93"/>
      <c r="R318" s="93"/>
      <c r="S318" s="854"/>
      <c r="T318" s="92"/>
      <c r="U318" s="92"/>
      <c r="V318" s="92"/>
      <c r="W318" s="92"/>
      <c r="X318" s="92"/>
      <c r="Y318" s="92"/>
      <c r="Z318" s="92"/>
      <c r="AA318" s="92"/>
      <c r="AB318" s="92"/>
    </row>
    <row r="319" spans="2:28" ht="21" hidden="1" outlineLevel="1">
      <c r="B319" s="19"/>
      <c r="C319" s="14" t="s">
        <v>481</v>
      </c>
      <c r="D319" s="96" t="s">
        <v>486</v>
      </c>
      <c r="E319" s="95" t="s">
        <v>22</v>
      </c>
      <c r="F319" s="92"/>
      <c r="G319" s="92"/>
      <c r="H319" s="92"/>
      <c r="I319" s="92"/>
      <c r="J319" s="92"/>
      <c r="K319" s="92"/>
      <c r="L319" s="92"/>
      <c r="M319" s="92"/>
      <c r="N319" s="92"/>
      <c r="O319" s="22">
        <f t="shared" si="42"/>
        <v>0</v>
      </c>
      <c r="P319" s="92"/>
      <c r="Q319" s="93"/>
      <c r="R319" s="93"/>
      <c r="S319" s="854"/>
      <c r="T319" s="92"/>
      <c r="U319" s="92"/>
      <c r="V319" s="92"/>
      <c r="W319" s="92"/>
      <c r="X319" s="92"/>
      <c r="Y319" s="92"/>
      <c r="Z319" s="92"/>
      <c r="AA319" s="92"/>
      <c r="AB319" s="92"/>
    </row>
    <row r="320" spans="2:28" ht="21" hidden="1" outlineLevel="1">
      <c r="B320" s="19"/>
      <c r="C320" s="14" t="s">
        <v>482</v>
      </c>
      <c r="D320" s="96" t="s">
        <v>487</v>
      </c>
      <c r="E320" s="95" t="s">
        <v>488</v>
      </c>
      <c r="F320" s="92"/>
      <c r="G320" s="92"/>
      <c r="H320" s="92"/>
      <c r="I320" s="92"/>
      <c r="J320" s="92"/>
      <c r="K320" s="92"/>
      <c r="L320" s="92"/>
      <c r="M320" s="92"/>
      <c r="N320" s="92"/>
      <c r="O320" s="22">
        <f t="shared" si="42"/>
        <v>0</v>
      </c>
      <c r="P320" s="92"/>
      <c r="Q320" s="93"/>
      <c r="R320" s="93"/>
      <c r="S320" s="854"/>
      <c r="T320" s="92"/>
      <c r="U320" s="92"/>
      <c r="V320" s="92"/>
      <c r="W320" s="92"/>
      <c r="X320" s="92"/>
      <c r="Y320" s="92"/>
      <c r="Z320" s="92"/>
      <c r="AA320" s="92"/>
      <c r="AB320" s="92"/>
    </row>
    <row r="321" spans="2:28" hidden="1" outlineLevel="1">
      <c r="B321" s="19"/>
      <c r="C321" s="14" t="s">
        <v>489</v>
      </c>
      <c r="D321" s="96" t="s">
        <v>490</v>
      </c>
      <c r="E321" s="95" t="s">
        <v>488</v>
      </c>
      <c r="F321" s="92"/>
      <c r="G321" s="92"/>
      <c r="H321" s="92"/>
      <c r="I321" s="92"/>
      <c r="J321" s="92"/>
      <c r="K321" s="92"/>
      <c r="L321" s="92"/>
      <c r="M321" s="92"/>
      <c r="N321" s="92"/>
      <c r="O321" s="22">
        <f t="shared" si="42"/>
        <v>0</v>
      </c>
      <c r="P321" s="92"/>
      <c r="Q321" s="93"/>
      <c r="R321" s="93"/>
      <c r="S321" s="854"/>
      <c r="T321" s="92"/>
      <c r="U321" s="92"/>
      <c r="V321" s="92"/>
      <c r="W321" s="92"/>
      <c r="X321" s="92"/>
      <c r="Y321" s="92"/>
      <c r="Z321" s="92"/>
      <c r="AA321" s="92"/>
      <c r="AB321" s="92"/>
    </row>
    <row r="322" spans="2:28" ht="21" hidden="1" outlineLevel="1">
      <c r="B322" s="19"/>
      <c r="C322" s="14" t="s">
        <v>491</v>
      </c>
      <c r="D322" s="94" t="s">
        <v>492</v>
      </c>
      <c r="E322" s="95" t="s">
        <v>22</v>
      </c>
      <c r="F322" s="92"/>
      <c r="G322" s="92"/>
      <c r="H322" s="92"/>
      <c r="I322" s="92"/>
      <c r="J322" s="92"/>
      <c r="K322" s="92"/>
      <c r="L322" s="92"/>
      <c r="M322" s="92"/>
      <c r="N322" s="92"/>
      <c r="O322" s="22">
        <f t="shared" si="42"/>
        <v>0</v>
      </c>
      <c r="P322" s="92"/>
      <c r="Q322" s="93"/>
      <c r="R322" s="93"/>
      <c r="S322" s="854"/>
      <c r="T322" s="92"/>
      <c r="U322" s="92"/>
      <c r="V322" s="92"/>
      <c r="W322" s="92"/>
      <c r="X322" s="92"/>
      <c r="Y322" s="92"/>
      <c r="Z322" s="92"/>
      <c r="AA322" s="92"/>
      <c r="AB322" s="92"/>
    </row>
    <row r="323" spans="2:28" hidden="1" outlineLevel="1">
      <c r="B323" s="19"/>
      <c r="C323" s="14" t="s">
        <v>493</v>
      </c>
      <c r="D323" s="96" t="s">
        <v>494</v>
      </c>
      <c r="E323" s="95" t="s">
        <v>353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22">
        <f t="shared" si="42"/>
        <v>0</v>
      </c>
      <c r="P323" s="92"/>
      <c r="Q323" s="93"/>
      <c r="R323" s="93"/>
      <c r="S323" s="854"/>
      <c r="T323" s="92"/>
      <c r="U323" s="92"/>
      <c r="V323" s="92"/>
      <c r="W323" s="92"/>
      <c r="X323" s="92"/>
      <c r="Y323" s="92"/>
      <c r="Z323" s="92"/>
      <c r="AA323" s="92"/>
      <c r="AB323" s="92"/>
    </row>
    <row r="324" spans="2:28" ht="42" hidden="1" outlineLevel="1">
      <c r="B324" s="19"/>
      <c r="C324" s="14" t="s">
        <v>495</v>
      </c>
      <c r="D324" s="98" t="s">
        <v>496</v>
      </c>
      <c r="E324" s="95" t="s">
        <v>22</v>
      </c>
      <c r="F324" s="92"/>
      <c r="G324" s="92"/>
      <c r="H324" s="92"/>
      <c r="I324" s="92"/>
      <c r="J324" s="92"/>
      <c r="K324" s="92"/>
      <c r="L324" s="92"/>
      <c r="M324" s="92"/>
      <c r="N324" s="92"/>
      <c r="O324" s="22">
        <f t="shared" si="42"/>
        <v>0</v>
      </c>
      <c r="P324" s="92"/>
      <c r="Q324" s="93"/>
      <c r="R324" s="93"/>
      <c r="S324" s="854"/>
      <c r="T324" s="92"/>
      <c r="U324" s="92"/>
      <c r="V324" s="92"/>
      <c r="W324" s="92"/>
      <c r="X324" s="92"/>
      <c r="Y324" s="92"/>
      <c r="Z324" s="92"/>
      <c r="AA324" s="92"/>
      <c r="AB324" s="92"/>
    </row>
    <row r="325" spans="2:28" collapsed="1">
      <c r="B325" s="19"/>
      <c r="C325" s="62"/>
      <c r="D325" s="63"/>
      <c r="E325" s="64"/>
      <c r="F325" s="101"/>
      <c r="G325" s="101"/>
      <c r="H325" s="101"/>
      <c r="I325" s="101"/>
      <c r="J325" s="101"/>
      <c r="K325" s="101"/>
      <c r="L325" s="101"/>
      <c r="M325" s="101"/>
      <c r="N325" s="101"/>
      <c r="O325" s="22">
        <f t="shared" si="42"/>
        <v>0</v>
      </c>
      <c r="P325" s="101"/>
      <c r="Q325" s="102"/>
      <c r="R325" s="102"/>
      <c r="S325" s="855"/>
      <c r="T325" s="101"/>
      <c r="U325" s="101"/>
      <c r="V325" s="101"/>
      <c r="W325" s="101"/>
      <c r="X325" s="101"/>
      <c r="Y325" s="101"/>
      <c r="Z325" s="101"/>
      <c r="AA325" s="101"/>
      <c r="AB325" s="101"/>
    </row>
    <row r="326" spans="2:28">
      <c r="B326" s="19"/>
      <c r="C326" s="103" t="s">
        <v>23</v>
      </c>
      <c r="D326" s="103" t="s">
        <v>497</v>
      </c>
      <c r="E326" s="95" t="s">
        <v>22</v>
      </c>
      <c r="F326" s="104">
        <f t="shared" ref="F326:N330" si="43">SUMIF($B$9:$B$325,$C326,F$9:F$325)</f>
        <v>302391.54072135926</v>
      </c>
      <c r="G326" s="104">
        <f t="shared" si="43"/>
        <v>268974.06247129996</v>
      </c>
      <c r="H326" s="104">
        <f t="shared" si="43"/>
        <v>321640.51917151193</v>
      </c>
      <c r="I326" s="104">
        <f t="shared" si="43"/>
        <v>441786.71522480698</v>
      </c>
      <c r="J326" s="104">
        <f t="shared" si="43"/>
        <v>466902.57903525466</v>
      </c>
      <c r="K326" s="104">
        <f t="shared" si="43"/>
        <v>288316.69035558397</v>
      </c>
      <c r="L326" s="104">
        <f t="shared" si="43"/>
        <v>365651.081727513</v>
      </c>
      <c r="M326" s="104">
        <f t="shared" si="43"/>
        <v>424871.71763243445</v>
      </c>
      <c r="N326" s="104">
        <f t="shared" si="43"/>
        <v>414931.96982969996</v>
      </c>
      <c r="O326" s="22">
        <f t="shared" si="42"/>
        <v>49280.88810218696</v>
      </c>
      <c r="P326" s="104">
        <f t="shared" ref="P326:AB326" si="44">SUMIF($B$9:$B$325,$C326,P$9:P$325)</f>
        <v>402797.18220154173</v>
      </c>
      <c r="Q326" s="105">
        <f t="shared" si="44"/>
        <v>368287.56695097545</v>
      </c>
      <c r="R326" s="104">
        <f t="shared" si="44"/>
        <v>434729.44312199001</v>
      </c>
      <c r="S326" s="104">
        <f t="shared" si="44"/>
        <v>409065.55334879598</v>
      </c>
      <c r="T326" s="104">
        <f t="shared" si="44"/>
        <v>489728.52527644794</v>
      </c>
      <c r="U326" s="104">
        <f t="shared" si="44"/>
        <v>377001.71088418196</v>
      </c>
      <c r="V326" s="104">
        <f t="shared" si="44"/>
        <v>490618.76126451429</v>
      </c>
      <c r="W326" s="104">
        <f t="shared" si="44"/>
        <v>567867.99276532221</v>
      </c>
      <c r="X326" s="104">
        <f t="shared" si="44"/>
        <v>385919.65611859731</v>
      </c>
      <c r="Y326" s="104">
        <f t="shared" si="44"/>
        <v>582247.9616912019</v>
      </c>
      <c r="Z326" s="104">
        <f t="shared" si="44"/>
        <v>408510.6258913877</v>
      </c>
      <c r="AA326" s="104">
        <f t="shared" si="44"/>
        <v>596962.40171717864</v>
      </c>
      <c r="AB326" s="104">
        <f t="shared" si="44"/>
        <v>0</v>
      </c>
    </row>
    <row r="327" spans="2:28">
      <c r="B327" s="19"/>
      <c r="C327" s="106" t="s">
        <v>171</v>
      </c>
      <c r="D327" s="106" t="s">
        <v>498</v>
      </c>
      <c r="E327" s="95" t="s">
        <v>22</v>
      </c>
      <c r="F327" s="104">
        <f t="shared" si="43"/>
        <v>41828.240899999997</v>
      </c>
      <c r="G327" s="104">
        <f t="shared" si="43"/>
        <v>42067.752181600001</v>
      </c>
      <c r="H327" s="104">
        <f t="shared" si="43"/>
        <v>46121.339185000004</v>
      </c>
      <c r="I327" s="104">
        <f t="shared" si="43"/>
        <v>53571.982100000008</v>
      </c>
      <c r="J327" s="104">
        <f t="shared" si="43"/>
        <v>124549.41783917358</v>
      </c>
      <c r="K327" s="104">
        <f t="shared" si="43"/>
        <v>84711.695537077816</v>
      </c>
      <c r="L327" s="104">
        <f t="shared" si="43"/>
        <v>104969.58</v>
      </c>
      <c r="M327" s="104">
        <f t="shared" si="43"/>
        <v>85798.420020413119</v>
      </c>
      <c r="N327" s="104">
        <f t="shared" si="43"/>
        <v>89642.332888334742</v>
      </c>
      <c r="O327" s="22">
        <f t="shared" si="42"/>
        <v>-15327.24711166526</v>
      </c>
      <c r="P327" s="104">
        <f t="shared" ref="P327:W330" si="45">SUMIF($B$9:$B$325,$C327,P$9:P$325)</f>
        <v>94064.570065311098</v>
      </c>
      <c r="Q327" s="105">
        <f t="shared" si="45"/>
        <v>41057.25633386604</v>
      </c>
      <c r="R327" s="104">
        <f t="shared" si="45"/>
        <v>121064.16612552403</v>
      </c>
      <c r="S327" s="104">
        <f t="shared" si="45"/>
        <v>146225.1392270927</v>
      </c>
      <c r="T327" s="104">
        <f t="shared" si="45"/>
        <v>163539.95476394056</v>
      </c>
      <c r="U327" s="104">
        <f t="shared" si="45"/>
        <v>39363.789404236428</v>
      </c>
      <c r="V327" s="104">
        <f t="shared" si="45"/>
        <v>179094.63243693049</v>
      </c>
      <c r="W327" s="104">
        <f t="shared" si="45"/>
        <v>176387.12534489008</v>
      </c>
      <c r="X327" s="104">
        <f>SUMIF($B$9:$B$325,$C327,X$9:X$325)+X77+X79</f>
        <v>93274.1</v>
      </c>
      <c r="Y327" s="104">
        <f t="shared" ref="Y327:AB330" si="46">SUMIF($B$9:$B$325,$C327,Y$9:Y$325)</f>
        <v>173436.08357968822</v>
      </c>
      <c r="Z327" s="104">
        <f>SUMIF($B$9:$B$325,$C327,Z$9:Z$325)+Z77+Z79-10</f>
        <v>71654.78</v>
      </c>
      <c r="AA327" s="104">
        <f t="shared" si="46"/>
        <v>167835.24957515101</v>
      </c>
      <c r="AB327" s="104">
        <f t="shared" si="46"/>
        <v>6.6078297329007218E-4</v>
      </c>
    </row>
    <row r="328" spans="2:28" ht="31.5">
      <c r="B328" s="19"/>
      <c r="C328" s="107" t="s">
        <v>36</v>
      </c>
      <c r="D328" s="107" t="s">
        <v>499</v>
      </c>
      <c r="E328" s="95" t="s">
        <v>22</v>
      </c>
      <c r="F328" s="104">
        <f t="shared" si="43"/>
        <v>25252.089917379995</v>
      </c>
      <c r="G328" s="104">
        <f t="shared" si="43"/>
        <v>26937.010460999998</v>
      </c>
      <c r="H328" s="104">
        <f t="shared" si="43"/>
        <v>26938.237820000002</v>
      </c>
      <c r="I328" s="104">
        <f t="shared" si="43"/>
        <v>35944.517572000004</v>
      </c>
      <c r="J328" s="104">
        <f t="shared" si="43"/>
        <v>144024.91744544895</v>
      </c>
      <c r="K328" s="104">
        <f t="shared" si="43"/>
        <v>76385.490469169366</v>
      </c>
      <c r="L328" s="104">
        <f t="shared" si="43"/>
        <v>183502.03125155004</v>
      </c>
      <c r="M328" s="104">
        <f t="shared" si="43"/>
        <v>83817.166635692018</v>
      </c>
      <c r="N328" s="104">
        <f t="shared" si="43"/>
        <v>82619.114000000001</v>
      </c>
      <c r="O328" s="22">
        <f t="shared" si="42"/>
        <v>-100882.91725155004</v>
      </c>
      <c r="P328" s="104">
        <f t="shared" si="45"/>
        <v>86615.387769740002</v>
      </c>
      <c r="Q328" s="105">
        <f t="shared" si="45"/>
        <v>79255.226173099698</v>
      </c>
      <c r="R328" s="104">
        <f t="shared" si="45"/>
        <v>87861.100355685994</v>
      </c>
      <c r="S328" s="104">
        <f t="shared" si="45"/>
        <v>91925.788676600001</v>
      </c>
      <c r="T328" s="104">
        <f t="shared" si="45"/>
        <v>95038.538199775561</v>
      </c>
      <c r="U328" s="104">
        <f t="shared" si="45"/>
        <v>82299.891672102356</v>
      </c>
      <c r="V328" s="104">
        <f t="shared" si="45"/>
        <v>103211.043326</v>
      </c>
      <c r="W328" s="104">
        <f t="shared" si="45"/>
        <v>114554.415975</v>
      </c>
      <c r="X328" s="104">
        <f>SUMIF($B$9:$B$325,$C328,X$9:X$325)-X77-X79</f>
        <v>86924.65</v>
      </c>
      <c r="Y328" s="104">
        <f t="shared" si="46"/>
        <v>127551.47947376002</v>
      </c>
      <c r="Z328" s="104">
        <f t="shared" si="46"/>
        <v>100283.26</v>
      </c>
      <c r="AA328" s="104">
        <f t="shared" si="46"/>
        <v>140463.54409395039</v>
      </c>
      <c r="AB328" s="104">
        <f t="shared" si="46"/>
        <v>0</v>
      </c>
    </row>
    <row r="329" spans="2:28">
      <c r="B329" s="19"/>
      <c r="C329" s="108" t="s">
        <v>288</v>
      </c>
      <c r="D329" s="108" t="s">
        <v>289</v>
      </c>
      <c r="E329" s="95" t="s">
        <v>22</v>
      </c>
      <c r="F329" s="104">
        <f t="shared" si="43"/>
        <v>29290</v>
      </c>
      <c r="G329" s="104">
        <f t="shared" si="43"/>
        <v>56084.170000000006</v>
      </c>
      <c r="H329" s="104">
        <f t="shared" si="43"/>
        <v>46484.109999999993</v>
      </c>
      <c r="I329" s="104">
        <f t="shared" si="43"/>
        <v>75957.08</v>
      </c>
      <c r="J329" s="104">
        <f t="shared" si="43"/>
        <v>191400.02</v>
      </c>
      <c r="K329" s="104">
        <f t="shared" si="43"/>
        <v>135230.29020000002</v>
      </c>
      <c r="L329" s="104">
        <f t="shared" si="43"/>
        <v>191264.72</v>
      </c>
      <c r="M329" s="104">
        <f t="shared" si="43"/>
        <v>136213.3934</v>
      </c>
      <c r="N329" s="104">
        <f t="shared" si="43"/>
        <v>118501.05</v>
      </c>
      <c r="O329" s="22">
        <f t="shared" si="42"/>
        <v>-72763.67</v>
      </c>
      <c r="P329" s="104">
        <f t="shared" si="45"/>
        <v>146188.16019999998</v>
      </c>
      <c r="Q329" s="105">
        <f t="shared" si="45"/>
        <v>114294.35</v>
      </c>
      <c r="R329" s="104">
        <f t="shared" si="45"/>
        <v>226266.56</v>
      </c>
      <c r="S329" s="104">
        <f t="shared" si="45"/>
        <v>242742.45</v>
      </c>
      <c r="T329" s="104">
        <f t="shared" si="45"/>
        <v>335689.23</v>
      </c>
      <c r="U329" s="104">
        <f t="shared" si="45"/>
        <v>114294.35</v>
      </c>
      <c r="V329" s="104">
        <f t="shared" si="45"/>
        <v>244145.16600000003</v>
      </c>
      <c r="W329" s="104">
        <f t="shared" si="45"/>
        <v>250740.7</v>
      </c>
      <c r="X329" s="104">
        <f>SUMIF($B$9:$B$325,$C329,X$9:X$325)</f>
        <v>114294.35</v>
      </c>
      <c r="Y329" s="104">
        <f t="shared" si="46"/>
        <v>254975.30000000005</v>
      </c>
      <c r="Z329" s="104">
        <f t="shared" si="46"/>
        <v>145432.94</v>
      </c>
      <c r="AA329" s="104">
        <f t="shared" si="46"/>
        <v>257903.03000000003</v>
      </c>
      <c r="AB329" s="104">
        <f t="shared" si="46"/>
        <v>0</v>
      </c>
    </row>
    <row r="330" spans="2:28">
      <c r="B330" s="19"/>
      <c r="C330" s="109" t="s">
        <v>346</v>
      </c>
      <c r="D330" s="109" t="s">
        <v>348</v>
      </c>
      <c r="E330" s="95" t="s">
        <v>22</v>
      </c>
      <c r="F330" s="104">
        <f t="shared" si="43"/>
        <v>13624.04</v>
      </c>
      <c r="G330" s="104">
        <f t="shared" si="43"/>
        <v>1829.93</v>
      </c>
      <c r="H330" s="104">
        <f t="shared" si="43"/>
        <v>9245.01</v>
      </c>
      <c r="I330" s="104">
        <f t="shared" si="43"/>
        <v>2521.33</v>
      </c>
      <c r="J330" s="104">
        <f t="shared" si="43"/>
        <v>15800</v>
      </c>
      <c r="K330" s="104">
        <f t="shared" si="43"/>
        <v>1483.7600000000002</v>
      </c>
      <c r="L330" s="104">
        <f t="shared" si="43"/>
        <v>1800</v>
      </c>
      <c r="M330" s="104">
        <f t="shared" si="43"/>
        <v>1557.9480000000003</v>
      </c>
      <c r="N330" s="104">
        <f t="shared" si="43"/>
        <v>3170.6871690000021</v>
      </c>
      <c r="O330" s="22">
        <f t="shared" si="42"/>
        <v>1370.6871690000021</v>
      </c>
      <c r="P330" s="104">
        <f t="shared" si="45"/>
        <v>8820.0521448688214</v>
      </c>
      <c r="Q330" s="105">
        <f t="shared" si="45"/>
        <v>1620.2659200000003</v>
      </c>
      <c r="R330" s="104">
        <f t="shared" si="45"/>
        <v>3297.5146557600024</v>
      </c>
      <c r="S330" s="104">
        <f t="shared" si="45"/>
        <v>1620.2659200000003</v>
      </c>
      <c r="T330" s="104">
        <f t="shared" si="45"/>
        <v>3429.4152419904026</v>
      </c>
      <c r="U330" s="104">
        <f t="shared" si="45"/>
        <v>1685.0844999999999</v>
      </c>
      <c r="V330" s="104">
        <f t="shared" si="45"/>
        <v>1620.2659200000003</v>
      </c>
      <c r="W330" s="104">
        <f t="shared" si="45"/>
        <v>3566.591851670019</v>
      </c>
      <c r="X330" s="104">
        <f>SUMIF($B$9:$B$325,$C330,X$9:X$325)</f>
        <v>1896.2</v>
      </c>
      <c r="Y330" s="104">
        <f t="shared" si="46"/>
        <v>3709.2555257368199</v>
      </c>
      <c r="Z330" s="104">
        <f t="shared" si="46"/>
        <v>2074.0700000000002</v>
      </c>
      <c r="AA330" s="104">
        <f t="shared" si="46"/>
        <v>3857.6257467662927</v>
      </c>
      <c r="AB330" s="104">
        <f t="shared" si="46"/>
        <v>0</v>
      </c>
    </row>
    <row r="331" spans="2:28">
      <c r="B331" s="19"/>
      <c r="C331" s="62"/>
      <c r="D331" s="63"/>
      <c r="E331" s="64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1"/>
      <c r="R331" s="31"/>
      <c r="S331" s="31"/>
      <c r="T331" s="30"/>
      <c r="U331" s="30"/>
      <c r="V331" s="30"/>
      <c r="W331" s="30"/>
      <c r="X331" s="30"/>
      <c r="Y331" s="30"/>
      <c r="Z331" s="30"/>
      <c r="AA331" s="30"/>
      <c r="AB331" s="30"/>
    </row>
    <row r="332" spans="2:28" ht="21">
      <c r="B332" s="19"/>
      <c r="C332" s="49" t="s">
        <v>500</v>
      </c>
      <c r="D332" s="49" t="s">
        <v>501</v>
      </c>
      <c r="E332" s="110" t="s">
        <v>22</v>
      </c>
      <c r="F332" s="111">
        <f t="shared" ref="F332:P332" si="47">F199+F214+F201-F212-F213+SUM(F279,F280,F309,F310,F324)</f>
        <v>310764.75153873919</v>
      </c>
      <c r="G332" s="111">
        <f t="shared" si="47"/>
        <v>434871.33511390002</v>
      </c>
      <c r="H332" s="111">
        <f t="shared" si="47"/>
        <v>438045.14617651189</v>
      </c>
      <c r="I332" s="111">
        <f t="shared" si="47"/>
        <v>609781.6248968069</v>
      </c>
      <c r="J332" s="111">
        <f t="shared" si="47"/>
        <v>934250.21431987721</v>
      </c>
      <c r="K332" s="111">
        <f>K199+K214+K201-K212-K213+SUM(K279,K280,K309,K310,K324)</f>
        <v>586127.92656183115</v>
      </c>
      <c r="L332" s="111">
        <f t="shared" si="47"/>
        <v>893145.55297906301</v>
      </c>
      <c r="M332" s="111">
        <f t="shared" si="47"/>
        <v>732258.64568853949</v>
      </c>
      <c r="N332" s="111">
        <f t="shared" si="47"/>
        <v>708865.15388703498</v>
      </c>
      <c r="O332" s="111">
        <f t="shared" si="47"/>
        <v>-184280.39909202803</v>
      </c>
      <c r="P332" s="111">
        <f t="shared" si="47"/>
        <v>1077318.4440949564</v>
      </c>
      <c r="Q332" s="112">
        <v>581585.9930736128</v>
      </c>
      <c r="R332" s="111">
        <f>R199+R214+R201-R212-R213+SUM(R279,R280,R309,R310,R324)</f>
        <v>873218.78425896016</v>
      </c>
      <c r="S332" s="111">
        <f>S199+S214+S201-S212-S213+SUM(S279,S280,S309,S310,S324)</f>
        <v>891579.19717248867</v>
      </c>
      <c r="T332" s="731">
        <f>T199+T214+T201-T212-T213+SUM(T279,T280,T309,T310,T324)</f>
        <v>1221320.6034821544</v>
      </c>
      <c r="U332" s="731">
        <f>U199+U214+U201-U212-U213+SUM(U279,U280,U309,U310,U324)+U270</f>
        <v>609371.79646052071</v>
      </c>
      <c r="V332" s="731">
        <f>V199+V214+V201-V212-V213+SUM(V279,V280,V309,V310,V324)+V270</f>
        <v>1018689.8689474447</v>
      </c>
      <c r="W332" s="731">
        <f>W199+W214+W201-W212-W213+SUM(W279,W280,W309,W310,W324)</f>
        <v>1213116.8259368823</v>
      </c>
      <c r="X332" s="731">
        <f>X199+X214+X201-X212-X213+SUM(X279,X280,X309,X310,X324)+X276+X275+X274+X273+X272+0.01</f>
        <v>655400.01174185285</v>
      </c>
      <c r="Y332" s="111">
        <f>Y199+Y214+Y201-Y212-Y213+SUM(Y279,Y280,Y309,Y310,Y324)</f>
        <v>1241920.080270387</v>
      </c>
      <c r="Z332" s="111">
        <f>Z326+Z327+Z328+Z329+Z330+Z270</f>
        <v>681148.34589138767</v>
      </c>
      <c r="AA332" s="111">
        <f>AA199+AA214+AA201-AA212-AA213+SUM(AA279,AA280,AA309,AA310,AA324)</f>
        <v>1167021.8511330464</v>
      </c>
      <c r="AB332" s="111">
        <f>AB199+AB214+AB201-AB212-AB213+SUM(AB279,AB280,AB309,AB310,AB324)</f>
        <v>6.6078297329007218E-4</v>
      </c>
    </row>
    <row r="333" spans="2:28" ht="21">
      <c r="B333" s="19"/>
      <c r="C333" s="49" t="s">
        <v>502</v>
      </c>
      <c r="D333" s="49" t="s">
        <v>503</v>
      </c>
      <c r="E333" s="110" t="s">
        <v>22</v>
      </c>
      <c r="F333" s="113">
        <f t="shared" ref="F333:AB333" si="48">F332*1.18</f>
        <v>366702.40681571222</v>
      </c>
      <c r="G333" s="113">
        <f t="shared" si="48"/>
        <v>513148.17543440202</v>
      </c>
      <c r="H333" s="113">
        <f t="shared" si="48"/>
        <v>516893.27248828398</v>
      </c>
      <c r="I333" s="113">
        <f t="shared" si="48"/>
        <v>719542.31737823214</v>
      </c>
      <c r="J333" s="113">
        <f t="shared" si="48"/>
        <v>1102415.2528974551</v>
      </c>
      <c r="K333" s="113">
        <f t="shared" si="48"/>
        <v>691630.95334296068</v>
      </c>
      <c r="L333" s="113">
        <f t="shared" si="48"/>
        <v>1053911.7525152944</v>
      </c>
      <c r="M333" s="113">
        <f t="shared" si="48"/>
        <v>864065.20191247656</v>
      </c>
      <c r="N333" s="113">
        <f>N332*1.2</f>
        <v>850638.18466444197</v>
      </c>
      <c r="O333" s="113"/>
      <c r="P333" s="113">
        <f>P332*1.2</f>
        <v>1292782.1329139476</v>
      </c>
      <c r="Q333" s="114">
        <f t="shared" si="48"/>
        <v>686271.47182686313</v>
      </c>
      <c r="R333" s="113">
        <f>R332*1.2</f>
        <v>1047862.5411107522</v>
      </c>
      <c r="S333" s="113">
        <f>S332*1.2</f>
        <v>1069895.0366069863</v>
      </c>
      <c r="T333" s="113">
        <f>T332*1.2</f>
        <v>1465584.7241785852</v>
      </c>
      <c r="U333" s="113">
        <f t="shared" si="48"/>
        <v>719058.71982341434</v>
      </c>
      <c r="V333" s="113">
        <f t="shared" si="48"/>
        <v>1202054.0453579847</v>
      </c>
      <c r="W333" s="113">
        <f>W332*1.2</f>
        <v>1455740.1911242588</v>
      </c>
      <c r="X333" s="113">
        <f t="shared" si="48"/>
        <v>773372.01385538629</v>
      </c>
      <c r="Y333" s="113">
        <f>Y332*1.2</f>
        <v>1490304.0963244643</v>
      </c>
      <c r="Z333" s="113">
        <f t="shared" si="48"/>
        <v>803755.04815183743</v>
      </c>
      <c r="AA333" s="113">
        <f>AA332*1.2</f>
        <v>1400426.2213596557</v>
      </c>
      <c r="AB333" s="113">
        <f t="shared" si="48"/>
        <v>7.7972390848228513E-4</v>
      </c>
    </row>
    <row r="334" spans="2:28">
      <c r="B334" s="19"/>
      <c r="C334" s="83" t="s">
        <v>504</v>
      </c>
      <c r="D334" s="83" t="s">
        <v>505</v>
      </c>
      <c r="E334" s="16" t="s">
        <v>22</v>
      </c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3"/>
      <c r="R334" s="23"/>
      <c r="S334" s="23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2:28">
      <c r="B335" s="19"/>
      <c r="C335" s="83" t="s">
        <v>506</v>
      </c>
      <c r="D335" s="83" t="s">
        <v>507</v>
      </c>
      <c r="E335" s="16" t="s">
        <v>22</v>
      </c>
      <c r="F335" s="104">
        <f t="shared" ref="F335:AB335" si="49">F334*1.18</f>
        <v>0</v>
      </c>
      <c r="G335" s="104">
        <f t="shared" si="49"/>
        <v>0</v>
      </c>
      <c r="H335" s="104">
        <f t="shared" si="49"/>
        <v>0</v>
      </c>
      <c r="I335" s="104">
        <f t="shared" si="49"/>
        <v>0</v>
      </c>
      <c r="J335" s="104">
        <f t="shared" si="49"/>
        <v>0</v>
      </c>
      <c r="K335" s="104">
        <f t="shared" si="49"/>
        <v>0</v>
      </c>
      <c r="L335" s="104">
        <f t="shared" si="49"/>
        <v>0</v>
      </c>
      <c r="M335" s="104">
        <f t="shared" si="49"/>
        <v>0</v>
      </c>
      <c r="N335" s="104"/>
      <c r="O335" s="104"/>
      <c r="P335" s="104">
        <f t="shared" si="49"/>
        <v>0</v>
      </c>
      <c r="Q335" s="105">
        <f t="shared" si="49"/>
        <v>0</v>
      </c>
      <c r="R335" s="105"/>
      <c r="S335" s="105"/>
      <c r="T335" s="104">
        <f t="shared" si="49"/>
        <v>0</v>
      </c>
      <c r="U335" s="104">
        <f t="shared" si="49"/>
        <v>0</v>
      </c>
      <c r="V335" s="104"/>
      <c r="W335" s="104">
        <f t="shared" si="49"/>
        <v>0</v>
      </c>
      <c r="X335" s="104">
        <f t="shared" si="49"/>
        <v>0</v>
      </c>
      <c r="Y335" s="104">
        <f t="shared" si="49"/>
        <v>0</v>
      </c>
      <c r="Z335" s="104">
        <f t="shared" si="49"/>
        <v>0</v>
      </c>
      <c r="AA335" s="104">
        <f t="shared" si="49"/>
        <v>0</v>
      </c>
      <c r="AB335" s="104">
        <f t="shared" si="49"/>
        <v>0</v>
      </c>
    </row>
    <row r="336" spans="2:28" ht="31.5">
      <c r="B336" s="19"/>
      <c r="C336" s="83" t="s">
        <v>508</v>
      </c>
      <c r="D336" s="83" t="s">
        <v>509</v>
      </c>
      <c r="E336" s="16" t="s">
        <v>22</v>
      </c>
      <c r="F336" s="17">
        <f t="shared" ref="F336:AB336" si="50">F332+F334</f>
        <v>310764.75153873919</v>
      </c>
      <c r="G336" s="17">
        <f t="shared" si="50"/>
        <v>434871.33511390002</v>
      </c>
      <c r="H336" s="17">
        <f t="shared" si="50"/>
        <v>438045.14617651189</v>
      </c>
      <c r="I336" s="17">
        <f t="shared" si="50"/>
        <v>609781.6248968069</v>
      </c>
      <c r="J336" s="17">
        <f t="shared" si="50"/>
        <v>934250.21431987721</v>
      </c>
      <c r="K336" s="17">
        <f t="shared" si="50"/>
        <v>586127.92656183115</v>
      </c>
      <c r="L336" s="17">
        <f t="shared" si="50"/>
        <v>893145.55297906301</v>
      </c>
      <c r="M336" s="17">
        <f t="shared" si="50"/>
        <v>732258.64568853949</v>
      </c>
      <c r="N336" s="17">
        <f t="shared" si="50"/>
        <v>708865.15388703498</v>
      </c>
      <c r="O336" s="17"/>
      <c r="P336" s="17">
        <f t="shared" si="50"/>
        <v>1077318.4440949564</v>
      </c>
      <c r="Q336" s="18">
        <f t="shared" si="50"/>
        <v>581585.9930736128</v>
      </c>
      <c r="R336" s="17">
        <f>R332+R334</f>
        <v>873218.78425896016</v>
      </c>
      <c r="S336" s="17"/>
      <c r="T336" s="17">
        <f t="shared" si="50"/>
        <v>1221320.6034821544</v>
      </c>
      <c r="U336" s="17">
        <f t="shared" si="50"/>
        <v>609371.79646052071</v>
      </c>
      <c r="V336" s="17"/>
      <c r="W336" s="17">
        <f t="shared" si="50"/>
        <v>1213116.8259368823</v>
      </c>
      <c r="X336" s="17">
        <f t="shared" si="50"/>
        <v>655400.01174185285</v>
      </c>
      <c r="Y336" s="17">
        <f t="shared" si="50"/>
        <v>1241920.080270387</v>
      </c>
      <c r="Z336" s="17">
        <f t="shared" si="50"/>
        <v>681148.34589138767</v>
      </c>
      <c r="AA336" s="17">
        <f t="shared" si="50"/>
        <v>1167021.8511330464</v>
      </c>
      <c r="AB336" s="17">
        <f t="shared" si="50"/>
        <v>6.6078297329007218E-4</v>
      </c>
    </row>
    <row r="337" spans="2:33" ht="31.5">
      <c r="B337" s="19"/>
      <c r="C337" s="83" t="s">
        <v>510</v>
      </c>
      <c r="D337" s="83" t="s">
        <v>511</v>
      </c>
      <c r="E337" s="16" t="s">
        <v>22</v>
      </c>
      <c r="F337" s="17">
        <f t="shared" ref="F337:AB337" si="51">F334+F335</f>
        <v>0</v>
      </c>
      <c r="G337" s="17">
        <f t="shared" si="51"/>
        <v>0</v>
      </c>
      <c r="H337" s="17">
        <f t="shared" si="51"/>
        <v>0</v>
      </c>
      <c r="I337" s="17">
        <f t="shared" si="51"/>
        <v>0</v>
      </c>
      <c r="J337" s="17">
        <f t="shared" si="51"/>
        <v>0</v>
      </c>
      <c r="K337" s="17">
        <f t="shared" si="51"/>
        <v>0</v>
      </c>
      <c r="L337" s="17">
        <f t="shared" si="51"/>
        <v>0</v>
      </c>
      <c r="M337" s="17">
        <f t="shared" si="51"/>
        <v>0</v>
      </c>
      <c r="N337" s="17"/>
      <c r="O337" s="17"/>
      <c r="P337" s="17">
        <f t="shared" si="51"/>
        <v>0</v>
      </c>
      <c r="Q337" s="18">
        <f t="shared" si="51"/>
        <v>0</v>
      </c>
      <c r="R337" s="18"/>
      <c r="S337" s="18"/>
      <c r="T337" s="17">
        <f t="shared" si="51"/>
        <v>0</v>
      </c>
      <c r="U337" s="17">
        <f t="shared" si="51"/>
        <v>0</v>
      </c>
      <c r="V337" s="17"/>
      <c r="W337" s="17">
        <f t="shared" si="51"/>
        <v>0</v>
      </c>
      <c r="X337" s="17">
        <f t="shared" si="51"/>
        <v>0</v>
      </c>
      <c r="Y337" s="17">
        <f t="shared" si="51"/>
        <v>0</v>
      </c>
      <c r="Z337" s="17">
        <f t="shared" si="51"/>
        <v>0</v>
      </c>
      <c r="AA337" s="17">
        <f t="shared" si="51"/>
        <v>0</v>
      </c>
      <c r="AB337" s="17">
        <f t="shared" si="51"/>
        <v>0</v>
      </c>
    </row>
    <row r="338" spans="2:33">
      <c r="B338" s="19"/>
      <c r="C338" s="62"/>
      <c r="D338" s="63"/>
      <c r="E338" s="64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1"/>
      <c r="R338" s="31"/>
      <c r="S338" s="31"/>
      <c r="T338" s="30"/>
      <c r="U338" s="30"/>
      <c r="V338" s="30"/>
      <c r="W338" s="30"/>
      <c r="X338" s="30"/>
      <c r="Y338" s="30"/>
      <c r="Z338" s="30"/>
      <c r="AA338" s="30"/>
      <c r="AB338" s="30"/>
    </row>
    <row r="339" spans="2:33">
      <c r="B339" s="19"/>
      <c r="C339" s="115" t="s">
        <v>512</v>
      </c>
      <c r="D339" s="116" t="s">
        <v>536</v>
      </c>
      <c r="E339" s="16" t="s">
        <v>139</v>
      </c>
      <c r="F339" s="17">
        <f>F340+F341+F342+F343</f>
        <v>48985.71</v>
      </c>
      <c r="G339" s="17">
        <v>31487.736000000001</v>
      </c>
      <c r="H339" s="17">
        <f t="shared" ref="H339:AB339" si="52">H340+H341+H342+H343</f>
        <v>53901.84</v>
      </c>
      <c r="I339" s="17">
        <f t="shared" si="52"/>
        <v>45377.025000000001</v>
      </c>
      <c r="J339" s="17">
        <f t="shared" si="52"/>
        <v>54662.451999999997</v>
      </c>
      <c r="K339" s="17">
        <f t="shared" si="52"/>
        <v>33368.803999999996</v>
      </c>
      <c r="L339" s="17">
        <f>L340+L341+L342+L343</f>
        <v>53901.84</v>
      </c>
      <c r="M339" s="17">
        <f t="shared" si="52"/>
        <v>33453.070999999996</v>
      </c>
      <c r="N339" s="17"/>
      <c r="O339" s="17"/>
      <c r="P339" s="17">
        <f t="shared" si="52"/>
        <v>34098.129999999997</v>
      </c>
      <c r="Q339" s="18">
        <f t="shared" si="52"/>
        <v>34814.381988501962</v>
      </c>
      <c r="R339" s="18"/>
      <c r="S339" s="18"/>
      <c r="T339" s="17">
        <f t="shared" si="52"/>
        <v>35662.735999999997</v>
      </c>
      <c r="U339" s="17">
        <f t="shared" si="52"/>
        <v>35162.525808386978</v>
      </c>
      <c r="V339" s="17"/>
      <c r="W339" s="17">
        <f t="shared" si="52"/>
        <v>35865.563000000002</v>
      </c>
      <c r="X339" s="17">
        <f t="shared" si="52"/>
        <v>35865.563000000002</v>
      </c>
      <c r="Y339" s="17">
        <f t="shared" si="52"/>
        <v>36205.635999999999</v>
      </c>
      <c r="Z339" s="17">
        <f t="shared" si="52"/>
        <v>36205.635999999999</v>
      </c>
      <c r="AA339" s="17">
        <f t="shared" si="52"/>
        <v>36549.108999999997</v>
      </c>
      <c r="AB339" s="17">
        <f t="shared" si="52"/>
        <v>36227.985502906915</v>
      </c>
    </row>
    <row r="340" spans="2:33">
      <c r="B340" s="19"/>
      <c r="C340" s="115"/>
      <c r="D340" s="117" t="s">
        <v>513</v>
      </c>
      <c r="E340" s="16" t="s">
        <v>139</v>
      </c>
      <c r="F340" s="22">
        <f>'[8]Баланс ВО(2)'!F9</f>
        <v>48985.71</v>
      </c>
      <c r="G340" s="22">
        <v>311487.74</v>
      </c>
      <c r="H340" s="22">
        <f>'[8]Баланс ВО'!G15</f>
        <v>53901.84</v>
      </c>
      <c r="I340" s="22">
        <f>'[8]Баланс ВО'!H15</f>
        <v>45377.025000000001</v>
      </c>
      <c r="J340" s="22">
        <f>'[8]Баланс ВО'!I15</f>
        <v>54662.451999999997</v>
      </c>
      <c r="K340" s="22">
        <f>'[8]Баланс ВО(2)'!K9</f>
        <v>33368.803999999996</v>
      </c>
      <c r="L340" s="22">
        <f>'[8]Баланс ВО'!K15</f>
        <v>53901.84</v>
      </c>
      <c r="M340" s="22">
        <f>'[8]Баланс ВО(2)'!M9</f>
        <v>33453.070999999996</v>
      </c>
      <c r="N340" s="22">
        <v>34511.879999999997</v>
      </c>
      <c r="O340" s="22"/>
      <c r="P340" s="22">
        <f>'[8]Баланс ВО(2)'!N9</f>
        <v>34098.129999999997</v>
      </c>
      <c r="Q340" s="23">
        <f>'[8]Баланс ВО(2)'!O9</f>
        <v>34814.381988501962</v>
      </c>
      <c r="R340" s="22">
        <v>35539.591999999997</v>
      </c>
      <c r="S340" s="22">
        <v>36177.315000000002</v>
      </c>
      <c r="T340" s="22">
        <v>35662.735999999997</v>
      </c>
      <c r="U340" s="22">
        <f>'[8]Баланс ВО(2)'!Q9</f>
        <v>35162.525808386978</v>
      </c>
      <c r="V340" s="22">
        <v>38200.256999999998</v>
      </c>
      <c r="W340" s="22">
        <v>35865.563000000002</v>
      </c>
      <c r="X340" s="22">
        <v>35865.563000000002</v>
      </c>
      <c r="Y340" s="22">
        <v>36205.635999999999</v>
      </c>
      <c r="Z340" s="22">
        <v>36205.635999999999</v>
      </c>
      <c r="AA340" s="22">
        <v>36549.108999999997</v>
      </c>
      <c r="AB340" s="22">
        <f>'[8]Баланс ВО(2)'!W9</f>
        <v>36227.985502906915</v>
      </c>
    </row>
    <row r="341" spans="2:33">
      <c r="B341" s="19"/>
      <c r="C341" s="115"/>
      <c r="D341" s="117" t="s">
        <v>514</v>
      </c>
      <c r="E341" s="16" t="s">
        <v>139</v>
      </c>
      <c r="F341" s="22">
        <f>'[8]Баланс ВО'!E12</f>
        <v>0</v>
      </c>
      <c r="G341" s="22">
        <f>'[8]Баланс ВО'!F12</f>
        <v>0</v>
      </c>
      <c r="H341" s="22">
        <f>'[8]Баланс ВО'!G12</f>
        <v>0</v>
      </c>
      <c r="I341" s="22">
        <f>'[8]Баланс ВО'!H12</f>
        <v>0</v>
      </c>
      <c r="J341" s="22">
        <f>'[8]Баланс ВО'!I12</f>
        <v>0</v>
      </c>
      <c r="K341" s="22">
        <f>'[8]Баланс ВО'!J12</f>
        <v>0</v>
      </c>
      <c r="L341" s="22">
        <f>'[8]Баланс ВО'!K12</f>
        <v>0</v>
      </c>
      <c r="M341" s="22">
        <f>'[8]Баланс ВО'!L12</f>
        <v>0</v>
      </c>
      <c r="N341" s="22"/>
      <c r="O341" s="22"/>
      <c r="P341" s="22">
        <f>'[8]Баланс ВО'!M12</f>
        <v>0</v>
      </c>
      <c r="Q341" s="23">
        <f>'[8]Баланс ВО'!N12</f>
        <v>0</v>
      </c>
      <c r="R341" s="23"/>
      <c r="S341" s="23"/>
      <c r="T341" s="22">
        <f>'[8]Баланс ВО'!O12</f>
        <v>0</v>
      </c>
      <c r="U341" s="22">
        <f>'[8]Баланс ВО'!P12</f>
        <v>0</v>
      </c>
      <c r="V341" s="22"/>
      <c r="W341" s="22">
        <f>'[8]Баланс ВО'!Q12</f>
        <v>0</v>
      </c>
      <c r="X341" s="22">
        <f>'[8]Баланс ВО'!R12</f>
        <v>0</v>
      </c>
      <c r="Y341" s="22">
        <f>'[8]Баланс ВО'!S12</f>
        <v>0</v>
      </c>
      <c r="Z341" s="22">
        <f>'[8]Баланс ВО'!T12</f>
        <v>0</v>
      </c>
      <c r="AA341" s="22">
        <f>'[8]Баланс ВО'!U12</f>
        <v>0</v>
      </c>
      <c r="AB341" s="22">
        <f>'[8]Баланс ВО'!V12</f>
        <v>0</v>
      </c>
    </row>
    <row r="342" spans="2:33">
      <c r="B342" s="19"/>
      <c r="C342" s="115"/>
      <c r="D342" s="117" t="s">
        <v>515</v>
      </c>
      <c r="E342" s="16" t="s">
        <v>139</v>
      </c>
      <c r="F342" s="22">
        <f>'[8]Баланс ВО'!E18</f>
        <v>0</v>
      </c>
      <c r="G342" s="22">
        <f>'[8]Баланс ВО'!F18</f>
        <v>0</v>
      </c>
      <c r="H342" s="22">
        <f>'[8]Баланс ВО'!G18</f>
        <v>0</v>
      </c>
      <c r="I342" s="22">
        <f>'[8]Баланс ВО'!H18</f>
        <v>0</v>
      </c>
      <c r="J342" s="22">
        <f>'[8]Баланс ВО'!I18</f>
        <v>0</v>
      </c>
      <c r="K342" s="22">
        <f>'[8]Баланс ВО'!J18</f>
        <v>0</v>
      </c>
      <c r="L342" s="22">
        <f>'[8]Баланс ВО'!K18</f>
        <v>0</v>
      </c>
      <c r="M342" s="22">
        <f>'[8]Баланс ВО'!L18</f>
        <v>0</v>
      </c>
      <c r="N342" s="22"/>
      <c r="O342" s="22"/>
      <c r="P342" s="22">
        <f>'[8]Баланс ВО'!M18</f>
        <v>0</v>
      </c>
      <c r="Q342" s="23">
        <f>'[8]Баланс ВО'!N18</f>
        <v>0</v>
      </c>
      <c r="R342" s="23"/>
      <c r="S342" s="23"/>
      <c r="T342" s="22">
        <f>'[8]Баланс ВО'!O18</f>
        <v>0</v>
      </c>
      <c r="U342" s="22">
        <f>'[8]Баланс ВО'!P18</f>
        <v>0</v>
      </c>
      <c r="V342" s="22"/>
      <c r="W342" s="22">
        <f>'[8]Баланс ВО'!Q18</f>
        <v>0</v>
      </c>
      <c r="X342" s="22">
        <f>'[8]Баланс ВО'!R18</f>
        <v>0</v>
      </c>
      <c r="Y342" s="22">
        <f>'[8]Баланс ВО'!S18</f>
        <v>0</v>
      </c>
      <c r="Z342" s="22">
        <f>'[8]Баланс ВО'!T18</f>
        <v>0</v>
      </c>
      <c r="AA342" s="22">
        <f>'[8]Баланс ВО'!U18</f>
        <v>0</v>
      </c>
      <c r="AB342" s="22">
        <f>'[8]Баланс ВО'!V18</f>
        <v>0</v>
      </c>
    </row>
    <row r="343" spans="2:33">
      <c r="B343" s="19"/>
      <c r="C343" s="115"/>
      <c r="D343" s="117" t="s">
        <v>516</v>
      </c>
      <c r="E343" s="16" t="s">
        <v>139</v>
      </c>
      <c r="F343" s="22">
        <f>'[8]Баланс ВО'!E10</f>
        <v>0</v>
      </c>
      <c r="G343" s="22">
        <f>'[8]Баланс ВО'!F10</f>
        <v>0</v>
      </c>
      <c r="H343" s="22">
        <f>'[8]Баланс ВО'!G10</f>
        <v>0</v>
      </c>
      <c r="I343" s="22">
        <f>'[8]Баланс ВО'!H10</f>
        <v>0</v>
      </c>
      <c r="J343" s="22">
        <f>'[8]Баланс ВО'!I10</f>
        <v>0</v>
      </c>
      <c r="K343" s="22">
        <f>'[8]Баланс ВО'!J10</f>
        <v>0</v>
      </c>
      <c r="L343" s="22">
        <f>'[8]Баланс ВО'!K10</f>
        <v>0</v>
      </c>
      <c r="M343" s="22">
        <f>'[8]Баланс ВО'!L10</f>
        <v>0</v>
      </c>
      <c r="N343" s="22"/>
      <c r="O343" s="22"/>
      <c r="P343" s="22">
        <f>'[8]Баланс ВО'!M10</f>
        <v>0</v>
      </c>
      <c r="Q343" s="23">
        <f>'[8]Баланс ВО'!N10</f>
        <v>0</v>
      </c>
      <c r="R343" s="23"/>
      <c r="S343" s="23"/>
      <c r="T343" s="22">
        <f>'[8]Баланс ВО'!O10</f>
        <v>0</v>
      </c>
      <c r="U343" s="22">
        <f>'[8]Баланс ВО'!P10</f>
        <v>0</v>
      </c>
      <c r="V343" s="22"/>
      <c r="W343" s="22">
        <f>'[8]Баланс ВО'!Q10</f>
        <v>0</v>
      </c>
      <c r="X343" s="22">
        <f>'[8]Баланс ВО'!R10</f>
        <v>0</v>
      </c>
      <c r="Y343" s="22">
        <f>'[8]Баланс ВО'!S10</f>
        <v>0</v>
      </c>
      <c r="Z343" s="22">
        <f>'[8]Баланс ВО'!T10</f>
        <v>0</v>
      </c>
      <c r="AA343" s="22">
        <f>'[8]Баланс ВО'!U10</f>
        <v>0</v>
      </c>
      <c r="AB343" s="22">
        <f>'[8]Баланс ВО'!V10</f>
        <v>0</v>
      </c>
    </row>
    <row r="345" spans="2:33" ht="41.25" hidden="1" customHeight="1">
      <c r="D345" s="688" t="s">
        <v>1216</v>
      </c>
      <c r="E345" s="689"/>
      <c r="F345" s="690"/>
      <c r="G345" s="690"/>
      <c r="H345" s="690"/>
      <c r="I345" s="690"/>
      <c r="J345" s="690"/>
      <c r="K345" s="690"/>
      <c r="L345" s="690" t="s">
        <v>1264</v>
      </c>
    </row>
    <row r="346" spans="2:33">
      <c r="AE346" s="134"/>
      <c r="AF346" s="134"/>
      <c r="AG346" s="134"/>
    </row>
    <row r="347" spans="2:33">
      <c r="D347" s="117" t="s">
        <v>1359</v>
      </c>
      <c r="E347" s="204"/>
      <c r="F347" s="313"/>
      <c r="G347" s="313"/>
      <c r="H347" s="313"/>
      <c r="I347" s="313"/>
      <c r="J347" s="313"/>
      <c r="K347" s="313"/>
      <c r="L347" s="313"/>
      <c r="M347" s="313"/>
      <c r="N347" s="312">
        <f>N332/N340</f>
        <v>20.539743238764014</v>
      </c>
      <c r="O347" s="312"/>
      <c r="P347" s="312"/>
      <c r="Q347" s="738">
        <f>Q336/Q340</f>
        <v>16.705337273133022</v>
      </c>
      <c r="R347" s="751">
        <f>R332/R340</f>
        <v>24.5703097621087</v>
      </c>
      <c r="S347" s="751">
        <f t="shared" ref="S347:AA347" si="53">S332/S340</f>
        <v>24.644703377585888</v>
      </c>
      <c r="T347" s="751">
        <f t="shared" si="53"/>
        <v>34.246407888675577</v>
      </c>
      <c r="U347" s="751">
        <f t="shared" si="53"/>
        <v>17.330148572978029</v>
      </c>
      <c r="V347" s="751">
        <f t="shared" si="53"/>
        <v>26.667094646704726</v>
      </c>
      <c r="W347" s="751">
        <f t="shared" si="53"/>
        <v>33.824000641977435</v>
      </c>
      <c r="X347" s="751">
        <f t="shared" si="53"/>
        <v>18.273796837982239</v>
      </c>
      <c r="Y347" s="751">
        <f t="shared" si="53"/>
        <v>34.301844062907421</v>
      </c>
      <c r="Z347" s="751">
        <f t="shared" si="53"/>
        <v>18.813323591149945</v>
      </c>
      <c r="AA347" s="751">
        <f t="shared" si="53"/>
        <v>31.930240792820602</v>
      </c>
      <c r="AB347" s="751"/>
    </row>
    <row r="348" spans="2:33" hidden="1">
      <c r="D348" s="117"/>
      <c r="E348" s="204"/>
      <c r="F348" s="313"/>
      <c r="G348" s="313"/>
      <c r="H348" s="313"/>
      <c r="I348" s="313"/>
      <c r="J348" s="313"/>
      <c r="K348" s="313"/>
      <c r="L348" s="313"/>
      <c r="M348" s="313"/>
      <c r="N348" s="313"/>
      <c r="O348" s="313"/>
      <c r="P348" s="313"/>
      <c r="Q348" s="739"/>
      <c r="R348" s="739"/>
      <c r="S348" s="313"/>
      <c r="T348" s="313"/>
      <c r="U348" s="313"/>
      <c r="V348" s="313"/>
      <c r="W348" s="313"/>
      <c r="X348" s="313"/>
      <c r="Y348" s="313"/>
      <c r="Z348" s="313"/>
      <c r="AA348" s="313"/>
      <c r="AB348" s="313"/>
    </row>
    <row r="349" spans="2:33">
      <c r="D349" s="117" t="s">
        <v>1360</v>
      </c>
      <c r="E349" s="204"/>
      <c r="F349" s="673"/>
      <c r="G349" s="673"/>
      <c r="H349" s="673"/>
      <c r="I349" s="673"/>
      <c r="J349" s="673"/>
      <c r="K349" s="673"/>
      <c r="L349" s="673"/>
      <c r="M349" s="313"/>
      <c r="N349" s="312">
        <f>N347*1.2</f>
        <v>24.647691886516817</v>
      </c>
      <c r="O349" s="312">
        <f t="shared" ref="O349:AA349" si="54">O347*1.2</f>
        <v>0</v>
      </c>
      <c r="P349" s="312">
        <f t="shared" si="54"/>
        <v>0</v>
      </c>
      <c r="Q349" s="312">
        <f t="shared" si="54"/>
        <v>20.046404727759626</v>
      </c>
      <c r="R349" s="312">
        <f>R347*1.2</f>
        <v>29.48437171453044</v>
      </c>
      <c r="S349" s="312">
        <f>S347*1.2</f>
        <v>29.573644053103063</v>
      </c>
      <c r="T349" s="312">
        <f t="shared" si="54"/>
        <v>41.09568946641069</v>
      </c>
      <c r="U349" s="312">
        <f>U347*1.2</f>
        <v>20.796178287573635</v>
      </c>
      <c r="V349" s="312"/>
      <c r="W349" s="312">
        <f t="shared" si="54"/>
        <v>40.58880077037292</v>
      </c>
      <c r="X349" s="312">
        <f t="shared" si="54"/>
        <v>21.928556205578687</v>
      </c>
      <c r="Y349" s="312">
        <f t="shared" si="54"/>
        <v>41.162212875488905</v>
      </c>
      <c r="Z349" s="312">
        <f t="shared" si="54"/>
        <v>22.575988309379934</v>
      </c>
      <c r="AA349" s="312">
        <f t="shared" si="54"/>
        <v>38.31628895138472</v>
      </c>
      <c r="AB349" s="313"/>
    </row>
    <row r="350" spans="2:33">
      <c r="K350" s="136"/>
      <c r="L350" s="136"/>
      <c r="M350" s="136"/>
      <c r="N350" s="136"/>
      <c r="O350" s="136"/>
      <c r="P350" s="136"/>
      <c r="Q350" s="137"/>
      <c r="R350" s="137"/>
      <c r="S350" s="137"/>
      <c r="T350" s="136"/>
      <c r="U350" s="136"/>
      <c r="V350" s="136"/>
      <c r="W350" s="136"/>
      <c r="X350" s="136"/>
      <c r="Y350" s="136"/>
    </row>
    <row r="352" spans="2:33">
      <c r="Q352" s="757"/>
      <c r="T352" s="313">
        <v>2019</v>
      </c>
      <c r="U352" s="313" t="s">
        <v>1357</v>
      </c>
      <c r="V352" s="313">
        <v>2020</v>
      </c>
    </row>
    <row r="353" spans="17:32">
      <c r="Q353" s="758" t="s">
        <v>545</v>
      </c>
      <c r="T353" s="760">
        <f>T326+T327+T328</f>
        <v>748307.01824016403</v>
      </c>
      <c r="U353" s="760"/>
      <c r="V353" s="760">
        <f>U326+U327+U328</f>
        <v>498665.39196052076</v>
      </c>
    </row>
    <row r="354" spans="17:32">
      <c r="Q354" s="758" t="s">
        <v>497</v>
      </c>
      <c r="T354" s="760">
        <f>Q9+Q91+Q106+Q115+Q120+Q138</f>
        <v>368287.56695097545</v>
      </c>
      <c r="U354" s="756">
        <v>1.0237000000000001</v>
      </c>
      <c r="V354" s="760">
        <f>U9+U90+U91+U106+U115+U120+U138</f>
        <v>377001.71088418196</v>
      </c>
      <c r="AF354" s="759"/>
    </row>
    <row r="355" spans="17:32">
      <c r="Q355" s="758" t="s">
        <v>498</v>
      </c>
      <c r="T355" s="760">
        <f>Q77+Q79+Q104+Q175+Q187</f>
        <v>46877.840714203987</v>
      </c>
      <c r="U355" s="760">
        <f>V355/T355</f>
        <v>0.96630187700722747</v>
      </c>
      <c r="V355" s="760">
        <f>U77+U79+U104+U175+U187</f>
        <v>45298.145472181139</v>
      </c>
      <c r="W355"/>
      <c r="X355" t="s">
        <v>1820</v>
      </c>
      <c r="Y355"/>
      <c r="Z355"/>
    </row>
    <row r="356" spans="17:32">
      <c r="W356"/>
      <c r="X356" t="s">
        <v>1821</v>
      </c>
      <c r="Y356"/>
      <c r="Z356"/>
    </row>
    <row r="357" spans="17:32">
      <c r="W357"/>
      <c r="X357" t="s">
        <v>1822</v>
      </c>
      <c r="Y357"/>
      <c r="Z357"/>
      <c r="AF357" s="134"/>
    </row>
    <row r="358" spans="17:32">
      <c r="U358" s="1127"/>
      <c r="V358" s="1127"/>
      <c r="W358" t="s">
        <v>1117</v>
      </c>
      <c r="X358" s="134">
        <f>(W92+W126)-(X92+X126)</f>
        <v>32875.25691966145</v>
      </c>
      <c r="Y358" t="s">
        <v>606</v>
      </c>
      <c r="Z358"/>
    </row>
    <row r="359" spans="17:32">
      <c r="U359" s="1127"/>
      <c r="V359" s="1127"/>
      <c r="W359" t="s">
        <v>1823</v>
      </c>
      <c r="X359" s="134">
        <f>X358*0.302</f>
        <v>9928.3275897377571</v>
      </c>
      <c r="Y359" t="s">
        <v>606</v>
      </c>
      <c r="Z359"/>
      <c r="AF359" s="134"/>
    </row>
    <row r="360" spans="17:32">
      <c r="W360" s="448" t="s">
        <v>686</v>
      </c>
      <c r="X360" s="1545">
        <f>X358+X359</f>
        <v>42803.58450939921</v>
      </c>
      <c r="Y360" s="448" t="s">
        <v>606</v>
      </c>
      <c r="Z360"/>
    </row>
    <row r="361" spans="17:32">
      <c r="U361" s="136">
        <f>W332-U358</f>
        <v>1213116.8259368823</v>
      </c>
      <c r="V361" s="136" t="e">
        <f>Y332-#REF!</f>
        <v>#REF!</v>
      </c>
    </row>
    <row r="362" spans="17:32">
      <c r="U362" s="136">
        <f>W347-U359</f>
        <v>33.824000641977435</v>
      </c>
      <c r="V362" s="136" t="e">
        <f>#REF!-Y347</f>
        <v>#REF!</v>
      </c>
    </row>
  </sheetData>
  <mergeCells count="14">
    <mergeCell ref="AD90:AF90"/>
    <mergeCell ref="W4:X4"/>
    <mergeCell ref="Y4:Z4"/>
    <mergeCell ref="AA4:AB4"/>
    <mergeCell ref="B2:Q2"/>
    <mergeCell ref="B4:B7"/>
    <mergeCell ref="C4:D5"/>
    <mergeCell ref="E4:E5"/>
    <mergeCell ref="F4:G4"/>
    <mergeCell ref="H4:I4"/>
    <mergeCell ref="J4:K4"/>
    <mergeCell ref="P4:Q4"/>
    <mergeCell ref="L4:N4"/>
    <mergeCell ref="S4:V4"/>
  </mergeCells>
  <phoneticPr fontId="299" type="noConversion"/>
  <pageMargins left="0.39370078740157483" right="0" top="0.74803149606299213" bottom="0.74803149606299213" header="0.31496062992125984" footer="0.31496062992125984"/>
  <pageSetup paperSize="8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коррект. декабрь 2020</vt:lpstr>
      <vt:lpstr>Расшифровка выпад. расх.2018г</vt:lpstr>
      <vt:lpstr>выпадающие доходы 2018 по объем</vt:lpstr>
      <vt:lpstr>расшифровки ВО</vt:lpstr>
      <vt:lpstr>расшифровки ВС</vt:lpstr>
      <vt:lpstr>Цеховые расходы</vt:lpstr>
      <vt:lpstr>Админ. расх.</vt:lpstr>
      <vt:lpstr>К ВС</vt:lpstr>
      <vt:lpstr>К ВО</vt:lpstr>
      <vt:lpstr>Корректировка ВС</vt:lpstr>
      <vt:lpstr>Расчёт ВС методом индексации</vt:lpstr>
      <vt:lpstr>Корректировка ВО</vt:lpstr>
      <vt:lpstr>Расчет ВО методом индекс ВО</vt:lpstr>
      <vt:lpstr>негативка</vt:lpstr>
      <vt:lpstr>соц выплаты 2018</vt:lpstr>
      <vt:lpstr>ФОТ</vt:lpstr>
      <vt:lpstr>проценты</vt:lpstr>
      <vt:lpstr>налог на имущество 2021</vt:lpstr>
      <vt:lpstr>налог на имущество 2018-2023</vt:lpstr>
      <vt:lpstr>налог на имущество уточ. июль19</vt:lpstr>
      <vt:lpstr>прирост</vt:lpstr>
      <vt:lpstr>НВВ и аморт 2018</vt:lpstr>
      <vt:lpstr>распределение амортизации</vt:lpstr>
      <vt:lpstr>Лист1</vt:lpstr>
      <vt:lpstr>'К ВО'!Заголовки_для_печати</vt:lpstr>
      <vt:lpstr>'К ВС'!Заголовки_для_печати</vt:lpstr>
      <vt:lpstr>'расшифровки ВО'!Заголовки_для_печати</vt:lpstr>
      <vt:lpstr>'расшифровки ВС'!Заголовки_для_печати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Шумская Жанна Витальевна</cp:lastModifiedBy>
  <cp:lastPrinted>2021-12-23T13:43:32Z</cp:lastPrinted>
  <dcterms:created xsi:type="dcterms:W3CDTF">2018-12-14T14:25:39Z</dcterms:created>
  <dcterms:modified xsi:type="dcterms:W3CDTF">2021-12-30T10:47:51Z</dcterms:modified>
</cp:coreProperties>
</file>